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760" tabRatio="877" activeTab="0"/>
  </bookViews>
  <sheets>
    <sheet name="총집계표" sheetId="1" r:id="rId1"/>
    <sheet name="리집계표" sheetId="2" r:id="rId2"/>
    <sheet name="오천읍 세계리" sheetId="3" r:id="rId3"/>
    <sheet name="장기면 정천리" sheetId="4" r:id="rId4"/>
    <sheet name="동해면 상정리" sheetId="5" r:id="rId5"/>
  </sheets>
  <definedNames>
    <definedName name="_xlnm.Print_Area" localSheetId="4">'동해면 상정리'!$A$1:$M$68</definedName>
    <definedName name="_xlnm.Print_Area" localSheetId="1">'리집계표'!$A$1:$N$91</definedName>
    <definedName name="_xlnm.Print_Area" localSheetId="2">'오천읍 세계리'!$A$1:$M$26</definedName>
    <definedName name="_xlnm.Print_Area" localSheetId="3">'장기면 정천리'!$A$1:$M$236</definedName>
    <definedName name="_xlnm.Print_Area" localSheetId="0">'총집계표'!$A$1:$T$124</definedName>
    <definedName name="_xlnm.Print_Titles" localSheetId="4">'동해면 상정리'!$1:$5</definedName>
    <definedName name="_xlnm.Print_Titles" localSheetId="1">'리집계표'!$1:$1</definedName>
    <definedName name="_xlnm.Print_Titles" localSheetId="2">'오천읍 세계리'!$1:$5</definedName>
    <definedName name="_xlnm.Print_Titles" localSheetId="3">'장기면 정천리'!$1:$5</definedName>
  </definedNames>
  <calcPr fullCalcOnLoad="1"/>
</workbook>
</file>

<file path=xl/sharedStrings.xml><?xml version="1.0" encoding="utf-8"?>
<sst xmlns="http://schemas.openxmlformats.org/spreadsheetml/2006/main" count="2324" uniqueCount="592">
  <si>
    <t>전 체 편 입 용 지 집 계 표</t>
  </si>
  <si>
    <t>창 고</t>
  </si>
  <si>
    <t>구분</t>
  </si>
  <si>
    <t>계</t>
  </si>
  <si>
    <t>필지</t>
  </si>
  <si>
    <t>/</t>
  </si>
  <si>
    <t>전</t>
  </si>
  <si>
    <t>답</t>
  </si>
  <si>
    <t>임야</t>
  </si>
  <si>
    <t>대지</t>
  </si>
  <si>
    <t>도로</t>
  </si>
  <si>
    <t>하천</t>
  </si>
  <si>
    <t>구거</t>
  </si>
  <si>
    <t>제방</t>
  </si>
  <si>
    <t>유지</t>
  </si>
  <si>
    <t>과수원</t>
  </si>
  <si>
    <t>묘지</t>
  </si>
  <si>
    <t>목장</t>
  </si>
  <si>
    <t>잡종지</t>
  </si>
  <si>
    <t>수도</t>
  </si>
  <si>
    <t>공장</t>
  </si>
  <si>
    <t>비고</t>
  </si>
  <si>
    <t>학교용지</t>
  </si>
  <si>
    <t>기타</t>
  </si>
  <si>
    <t>일련</t>
  </si>
  <si>
    <t>지 번</t>
  </si>
  <si>
    <t>지목</t>
  </si>
  <si>
    <t>지 적</t>
  </si>
  <si>
    <t>편입면적</t>
  </si>
  <si>
    <t>실제이용상황</t>
  </si>
  <si>
    <t>소  유  자</t>
  </si>
  <si>
    <t>관  계  인</t>
  </si>
  <si>
    <t>번호</t>
  </si>
  <si>
    <t>면 적</t>
  </si>
  <si>
    <t>성  명</t>
  </si>
  <si>
    <t>주  소</t>
  </si>
  <si>
    <t>권리관계</t>
  </si>
  <si>
    <t>소   계</t>
  </si>
  <si>
    <t>철도</t>
  </si>
  <si>
    <t>종교</t>
  </si>
  <si>
    <t>염전</t>
  </si>
  <si>
    <t>공원</t>
  </si>
  <si>
    <t>체육</t>
  </si>
  <si>
    <t>유원지</t>
  </si>
  <si>
    <t>국  유  지</t>
  </si>
  <si>
    <t>사  유  지</t>
  </si>
  <si>
    <t>면 적 (㎡)</t>
  </si>
  <si>
    <t>총계</t>
  </si>
  <si>
    <t>국유지</t>
  </si>
  <si>
    <t>사유지</t>
  </si>
  <si>
    <t>국유지+사유지</t>
  </si>
  <si>
    <t>면적</t>
  </si>
  <si>
    <t>편 입 용 지 집 계 표</t>
  </si>
  <si>
    <r>
      <t>( ㎡</t>
    </r>
    <r>
      <rPr>
        <vertAlign val="superscript"/>
        <sz val="10"/>
        <rFont val="돋움체"/>
        <family val="3"/>
      </rPr>
      <t xml:space="preserve"> </t>
    </r>
    <r>
      <rPr>
        <sz val="10"/>
        <rFont val="돋움체"/>
        <family val="3"/>
      </rPr>
      <t>)</t>
    </r>
  </si>
  <si>
    <t>기타</t>
  </si>
  <si>
    <t>공  유  지</t>
  </si>
  <si>
    <t>면적(㎡)</t>
  </si>
  <si>
    <t>필 지</t>
  </si>
  <si>
    <t>필 지</t>
  </si>
  <si>
    <t>공시지가</t>
  </si>
  <si>
    <t>용  지  조  서</t>
  </si>
  <si>
    <t>소    계</t>
  </si>
  <si>
    <t>총    계</t>
  </si>
  <si>
    <t>국 유 지 편 입 용 지 집 계 표</t>
  </si>
  <si>
    <t>공 유 지 편 입 용 지 집 계 표</t>
  </si>
  <si>
    <t>사 유 지 편 입 용 지 집 계 표</t>
  </si>
  <si>
    <t>창고</t>
  </si>
  <si>
    <t>임</t>
  </si>
  <si>
    <t>산82-8</t>
  </si>
  <si>
    <t>산82-3</t>
  </si>
  <si>
    <t>산83-1</t>
  </si>
  <si>
    <t>산83-2</t>
  </si>
  <si>
    <r>
      <t>( ㎡</t>
    </r>
    <r>
      <rPr>
        <vertAlign val="superscript"/>
        <sz val="10"/>
        <rFont val="돋움체"/>
        <family val="3"/>
      </rPr>
      <t xml:space="preserve"> </t>
    </r>
    <r>
      <rPr>
        <sz val="10"/>
        <rFont val="돋움체"/>
        <family val="3"/>
      </rPr>
      <t>)</t>
    </r>
  </si>
  <si>
    <t>오천읍 세계리</t>
  </si>
  <si>
    <t>장기면 정천리</t>
  </si>
  <si>
    <t>오천읍 세계리</t>
  </si>
  <si>
    <t>장기면 정천리</t>
  </si>
  <si>
    <t>동해면 상정리</t>
  </si>
  <si>
    <t>동해면 상정리</t>
  </si>
  <si>
    <t>479-8</t>
  </si>
  <si>
    <t>산175-11</t>
  </si>
  <si>
    <t>산 175-13</t>
  </si>
  <si>
    <t>479-1</t>
  </si>
  <si>
    <t>산175-8</t>
  </si>
  <si>
    <t>산 175-14</t>
  </si>
  <si>
    <t>산 175-15</t>
  </si>
  <si>
    <t>산 175-12</t>
  </si>
  <si>
    <t>산176</t>
  </si>
  <si>
    <t>산 175-1</t>
  </si>
  <si>
    <t>산 175-16</t>
  </si>
  <si>
    <t>496-2</t>
  </si>
  <si>
    <t>산175-5</t>
  </si>
  <si>
    <t>도</t>
  </si>
  <si>
    <t>496-1</t>
  </si>
  <si>
    <t>495-3</t>
  </si>
  <si>
    <t>494-1</t>
  </si>
  <si>
    <t>495-1</t>
  </si>
  <si>
    <t>599-3</t>
  </si>
  <si>
    <t>산137-3</t>
  </si>
  <si>
    <t>대</t>
  </si>
  <si>
    <t>598-1</t>
  </si>
  <si>
    <t>599-1</t>
  </si>
  <si>
    <t>산137-2</t>
  </si>
  <si>
    <t>산137</t>
  </si>
  <si>
    <t>600-1</t>
  </si>
  <si>
    <t>585-1</t>
  </si>
  <si>
    <t>584-5</t>
  </si>
  <si>
    <t>584-6</t>
  </si>
  <si>
    <t>583-1</t>
  </si>
  <si>
    <t>산142-12</t>
  </si>
  <si>
    <t>목</t>
  </si>
  <si>
    <t>산142-2</t>
  </si>
  <si>
    <t>601-3</t>
  </si>
  <si>
    <t>601-1</t>
  </si>
  <si>
    <t>주</t>
  </si>
  <si>
    <t>601-2</t>
  </si>
  <si>
    <t>581-1</t>
  </si>
  <si>
    <t>582-1</t>
  </si>
  <si>
    <t>601-4</t>
  </si>
  <si>
    <t>산142-10</t>
  </si>
  <si>
    <t>산141-4</t>
  </si>
  <si>
    <t>산141-7</t>
  </si>
  <si>
    <t>571-1</t>
  </si>
  <si>
    <t>568-4</t>
  </si>
  <si>
    <t>567-2</t>
  </si>
  <si>
    <t>산141-1</t>
  </si>
  <si>
    <t>603-1</t>
  </si>
  <si>
    <t>산112-2</t>
  </si>
  <si>
    <t>602-2</t>
  </si>
  <si>
    <t>604-2</t>
  </si>
  <si>
    <t>685-2</t>
  </si>
  <si>
    <t>천</t>
  </si>
  <si>
    <t>603-3</t>
  </si>
  <si>
    <t>603-7</t>
  </si>
  <si>
    <t>장</t>
  </si>
  <si>
    <t>산136-1</t>
  </si>
  <si>
    <t>산136-11</t>
  </si>
  <si>
    <t>산136-12</t>
  </si>
  <si>
    <t>산136-8</t>
  </si>
  <si>
    <t>산113-6</t>
  </si>
  <si>
    <t>산113-8</t>
  </si>
  <si>
    <t>산114-5</t>
  </si>
  <si>
    <t>519-3</t>
  </si>
  <si>
    <t>산113-7</t>
  </si>
  <si>
    <t>산115-4</t>
  </si>
  <si>
    <t>산115-1</t>
  </si>
  <si>
    <t>산115-2</t>
  </si>
  <si>
    <t>산116</t>
  </si>
  <si>
    <t>산114</t>
  </si>
  <si>
    <t>520-2</t>
  </si>
  <si>
    <t>519-1</t>
  </si>
  <si>
    <t>520-3</t>
  </si>
  <si>
    <t>산118-1</t>
  </si>
  <si>
    <t>묘</t>
  </si>
  <si>
    <t>산118</t>
  </si>
  <si>
    <t>산124-4</t>
  </si>
  <si>
    <t>산124-10</t>
  </si>
  <si>
    <t>432-1</t>
  </si>
  <si>
    <t>432-6</t>
  </si>
  <si>
    <t>산124-2</t>
  </si>
  <si>
    <t>산124-8</t>
  </si>
  <si>
    <t>산118-2</t>
  </si>
  <si>
    <t>산124-11</t>
  </si>
  <si>
    <t>432-4</t>
  </si>
  <si>
    <t>432-3</t>
  </si>
  <si>
    <t>432-7</t>
  </si>
  <si>
    <t>산124-9</t>
  </si>
  <si>
    <t>536-2</t>
  </si>
  <si>
    <t>산123</t>
  </si>
  <si>
    <t>산123-2</t>
  </si>
  <si>
    <t>산73-1</t>
  </si>
  <si>
    <t>산73-22</t>
  </si>
  <si>
    <t>537-3</t>
  </si>
  <si>
    <t>429-1</t>
  </si>
  <si>
    <t>536-3</t>
  </si>
  <si>
    <t>산73-16</t>
  </si>
  <si>
    <t>산123-3</t>
  </si>
  <si>
    <t>426-6</t>
  </si>
  <si>
    <t>426-7</t>
  </si>
  <si>
    <t>426-5</t>
  </si>
  <si>
    <t>산73-23</t>
  </si>
  <si>
    <t>산73-6</t>
  </si>
  <si>
    <t>537-7</t>
  </si>
  <si>
    <t>537-4</t>
  </si>
  <si>
    <t>537-1</t>
  </si>
  <si>
    <t>산84-1</t>
  </si>
  <si>
    <t>산84-4</t>
  </si>
  <si>
    <t>산83-7</t>
  </si>
  <si>
    <t>537-5</t>
  </si>
  <si>
    <t>산83-10</t>
  </si>
  <si>
    <t>산83-8</t>
  </si>
  <si>
    <t>산239</t>
  </si>
  <si>
    <t>산82-9</t>
  </si>
  <si>
    <t>산82-10</t>
  </si>
  <si>
    <t>산82-6</t>
  </si>
  <si>
    <t>산81-1</t>
  </si>
  <si>
    <t>산81-4</t>
  </si>
  <si>
    <t>산83-4</t>
  </si>
  <si>
    <t>537-2</t>
  </si>
  <si>
    <t>537-6</t>
  </si>
  <si>
    <t>산75-2</t>
  </si>
  <si>
    <t>424-7</t>
  </si>
  <si>
    <t>산75-3</t>
  </si>
  <si>
    <t>산76-3</t>
  </si>
  <si>
    <t>산76-2</t>
  </si>
  <si>
    <t>산76-1</t>
  </si>
  <si>
    <t>산83-3</t>
  </si>
  <si>
    <t>산83-9</t>
  </si>
  <si>
    <t>301-1</t>
  </si>
  <si>
    <t>301-2</t>
  </si>
  <si>
    <t>산76-5</t>
  </si>
  <si>
    <t>산76-4</t>
  </si>
  <si>
    <t>산78</t>
  </si>
  <si>
    <t>산78-1</t>
  </si>
  <si>
    <t>319-13</t>
  </si>
  <si>
    <t>319-3</t>
  </si>
  <si>
    <t>319-2</t>
  </si>
  <si>
    <t>산79-4</t>
  </si>
  <si>
    <t>319-12</t>
  </si>
  <si>
    <t>319-1</t>
  </si>
  <si>
    <t>319-11</t>
  </si>
  <si>
    <t>319-4</t>
  </si>
  <si>
    <t>잡</t>
  </si>
  <si>
    <t>319-14</t>
  </si>
  <si>
    <t>산79-5</t>
  </si>
  <si>
    <t>산9-2</t>
  </si>
  <si>
    <t>산9-4</t>
  </si>
  <si>
    <t>산10-5</t>
  </si>
  <si>
    <t>산10-10</t>
  </si>
  <si>
    <t>산10-1</t>
  </si>
  <si>
    <t>산10-8</t>
  </si>
  <si>
    <t>산10-2</t>
  </si>
  <si>
    <t>산11-2</t>
  </si>
  <si>
    <t>329-2</t>
  </si>
  <si>
    <t>산11</t>
  </si>
  <si>
    <t>산11-3</t>
  </si>
  <si>
    <t>산11-1</t>
  </si>
  <si>
    <t>산16-2</t>
  </si>
  <si>
    <t>산16</t>
  </si>
  <si>
    <t>산16-3</t>
  </si>
  <si>
    <t>138-2</t>
  </si>
  <si>
    <t>138-4</t>
  </si>
  <si>
    <t>136-7</t>
  </si>
  <si>
    <t>136-1</t>
  </si>
  <si>
    <t>134-1</t>
  </si>
  <si>
    <t>134-6</t>
  </si>
  <si>
    <t>134-4</t>
  </si>
  <si>
    <t>139-3</t>
  </si>
  <si>
    <t>139-7</t>
  </si>
  <si>
    <t>351-2</t>
  </si>
  <si>
    <t>351-1</t>
  </si>
  <si>
    <t>산10-4</t>
  </si>
  <si>
    <t>산10-9</t>
  </si>
  <si>
    <t>349-1</t>
  </si>
  <si>
    <t>331-2</t>
  </si>
  <si>
    <t>332-2</t>
  </si>
  <si>
    <t>333-2</t>
  </si>
  <si>
    <t>333-4</t>
  </si>
  <si>
    <t>334-2</t>
  </si>
  <si>
    <t>334-4</t>
  </si>
  <si>
    <t>335-2</t>
  </si>
  <si>
    <t>335-4</t>
  </si>
  <si>
    <t>135-2</t>
  </si>
  <si>
    <t>137-2</t>
  </si>
  <si>
    <t>135-4</t>
  </si>
  <si>
    <t>136-8</t>
  </si>
  <si>
    <t>136-3</t>
  </si>
  <si>
    <t>134-3</t>
  </si>
  <si>
    <t>133-2</t>
  </si>
  <si>
    <t>151-3</t>
  </si>
  <si>
    <t>151-2</t>
  </si>
  <si>
    <t>153-3</t>
  </si>
  <si>
    <t>소    계</t>
  </si>
  <si>
    <t>소    계</t>
  </si>
  <si>
    <t>주유소</t>
  </si>
  <si>
    <t>964-3</t>
  </si>
  <si>
    <t>771-2</t>
  </si>
  <si>
    <t>963-4</t>
  </si>
  <si>
    <t>963-1</t>
  </si>
  <si>
    <t>963-5</t>
  </si>
  <si>
    <t>965-5</t>
  </si>
  <si>
    <t>965-2</t>
  </si>
  <si>
    <t>959-3</t>
  </si>
  <si>
    <t>961-2</t>
  </si>
  <si>
    <t>961-1</t>
  </si>
  <si>
    <t>961-5</t>
  </si>
  <si>
    <t>산206-2</t>
  </si>
  <si>
    <t>960-5</t>
  </si>
  <si>
    <t>957-2</t>
  </si>
  <si>
    <t>958-4</t>
  </si>
  <si>
    <t>972-2</t>
  </si>
  <si>
    <t>973-3</t>
  </si>
  <si>
    <t>973-1</t>
  </si>
  <si>
    <t>972-1</t>
  </si>
  <si>
    <t>982-1</t>
  </si>
  <si>
    <t>981-1</t>
  </si>
  <si>
    <t>266-3</t>
  </si>
  <si>
    <t>1140-3</t>
  </si>
  <si>
    <t>298-1</t>
  </si>
  <si>
    <t>303-1</t>
  </si>
  <si>
    <t>304-1</t>
  </si>
  <si>
    <t>구</t>
  </si>
  <si>
    <t>1140-2</t>
  </si>
  <si>
    <t>348-4</t>
  </si>
  <si>
    <t>348-5</t>
  </si>
  <si>
    <t>349-2</t>
  </si>
  <si>
    <t>348-6</t>
  </si>
  <si>
    <t>349-8</t>
  </si>
  <si>
    <t>349-6</t>
  </si>
  <si>
    <t>349-4</t>
  </si>
  <si>
    <t>국</t>
  </si>
  <si>
    <t>국방부</t>
  </si>
  <si>
    <t>경상북도</t>
  </si>
  <si>
    <t>이상천</t>
  </si>
  <si>
    <t>용덕리 261-20</t>
  </si>
  <si>
    <t>건설교통부</t>
  </si>
  <si>
    <t>포항시</t>
  </si>
  <si>
    <t>한은주 외 1인</t>
  </si>
  <si>
    <t>서울특별시 중구 만리동2가 11-1 케이씨씨파크타운 103동 902호</t>
  </si>
  <si>
    <t>국토해양부</t>
  </si>
  <si>
    <t>고흥록 외 2인</t>
  </si>
  <si>
    <t>구룡포읍 강사리 228</t>
  </si>
  <si>
    <t>박경용</t>
  </si>
  <si>
    <t>경상북도 포항시 북구 두호동 635 롯데아파트 3-902</t>
  </si>
  <si>
    <t>이정우</t>
  </si>
  <si>
    <t>경주시 안강읍 산대리 2280-269 풍산아파트 8동 501호</t>
  </si>
  <si>
    <t>양재현외 1인</t>
  </si>
  <si>
    <t>병포리 36</t>
  </si>
  <si>
    <t>김도석</t>
  </si>
  <si>
    <t>영일군</t>
  </si>
  <si>
    <t>건설부</t>
  </si>
  <si>
    <t>권미자</t>
  </si>
  <si>
    <t>경상북도 포항시 남구 연일읍 유강리 594-3 대림한숲3단지아파트 302-1001</t>
  </si>
  <si>
    <t>김종호</t>
  </si>
  <si>
    <t>포항시 남구 대도동 20-58</t>
  </si>
  <si>
    <t>이월출</t>
  </si>
  <si>
    <t>황보청</t>
  </si>
  <si>
    <t>이동은</t>
  </si>
  <si>
    <t>북구 기계면 현내리 489-3</t>
  </si>
  <si>
    <t>하경태</t>
  </si>
  <si>
    <t>경상북도 포항시 남구 오천읍 원리 893-15 부영사랑으로 207-902</t>
  </si>
  <si>
    <t>진주하씨문효공파구평2리도문중</t>
  </si>
  <si>
    <t>구룡포읍 구평2리 49</t>
  </si>
  <si>
    <t>서상출</t>
  </si>
  <si>
    <t>장복희</t>
  </si>
  <si>
    <t>서울특별시 송파구 오금로21길 5-33,301호(방이동)</t>
  </si>
  <si>
    <t>장복희 외 2인</t>
  </si>
  <si>
    <t>서울 광진구 군자동 475-4</t>
  </si>
  <si>
    <t>이능수</t>
  </si>
  <si>
    <t>대송면 괴동동</t>
  </si>
  <si>
    <t>이상호</t>
  </si>
  <si>
    <t>경상북도 포항시 남구 동해면 중산리 153-1</t>
  </si>
  <si>
    <t>김명권</t>
  </si>
  <si>
    <t>도구리 14-10</t>
  </si>
  <si>
    <t>이규대</t>
  </si>
  <si>
    <t>상정동 212</t>
  </si>
  <si>
    <t>김병대</t>
  </si>
  <si>
    <t>212-1</t>
  </si>
  <si>
    <t>이병원</t>
  </si>
  <si>
    <t>경상북도 포항시 북구 환호동 409-1 환호해맞이그린빌 109-701</t>
  </si>
  <si>
    <t>김병호</t>
  </si>
  <si>
    <t>김태식</t>
  </si>
  <si>
    <t>경상북도 포항시 남구 동해면 약전리 421-7 영남대자연맨션 202-508</t>
  </si>
  <si>
    <t>이귀자 외3인</t>
  </si>
  <si>
    <t>경상북도 포항시 북구 창포동 626-8 전한빌라 301호</t>
  </si>
  <si>
    <t>이운호</t>
  </si>
  <si>
    <t>해도동 33-187 대방점보맨션 1동 407호</t>
  </si>
  <si>
    <t>농림부</t>
  </si>
  <si>
    <t>이진채</t>
  </si>
  <si>
    <t>경주군 강서면 산대리</t>
  </si>
  <si>
    <t>이정근</t>
  </si>
  <si>
    <t>대구 남구 대명동 2241-2</t>
  </si>
  <si>
    <t>재무부</t>
  </si>
  <si>
    <t>김인규</t>
  </si>
  <si>
    <t>경상북도 포항시 남구 장기면 정천리 601-1</t>
  </si>
  <si>
    <t>김원규</t>
  </si>
  <si>
    <t>경상북도 포항시 남구 장기면 정천리 601-2</t>
  </si>
  <si>
    <t>김순권</t>
  </si>
  <si>
    <t>이현근</t>
  </si>
  <si>
    <t>오천읍 세계리 848-1 경림타운 2동 402호</t>
  </si>
  <si>
    <t>금시환</t>
  </si>
  <si>
    <t>북구 두호동 1069 천호타운 512호</t>
  </si>
  <si>
    <t>정창율</t>
  </si>
  <si>
    <t>안익승</t>
  </si>
  <si>
    <t>정천리 576</t>
  </si>
  <si>
    <t>정철봉</t>
  </si>
  <si>
    <t>정천리 575</t>
  </si>
  <si>
    <t>정연만</t>
  </si>
  <si>
    <t>서울 노원구 중계동 360-16 주공아파트 1002-505</t>
  </si>
  <si>
    <t>양유진</t>
  </si>
  <si>
    <t>경상북도 포항시 북구 죽도동 20-119 송정한일맨션 902호</t>
  </si>
  <si>
    <t>백옥선</t>
  </si>
  <si>
    <t>경상북도 포항시 남구 지곡로211번길 50, 344-102(지곡동 그린빌라)</t>
  </si>
  <si>
    <t>이만철</t>
  </si>
  <si>
    <t>손상목</t>
  </si>
  <si>
    <t>김순정</t>
  </si>
  <si>
    <t>북구 장성동 1354 럭키장성아파트 104동 801호</t>
  </si>
  <si>
    <t>손호목외 1인</t>
  </si>
  <si>
    <t>포항시 남구 지곡동 230-5 승리아파트 5동 1301호</t>
  </si>
  <si>
    <t>정태환</t>
  </si>
  <si>
    <t>부산 동래구 연산동 1152-15</t>
  </si>
  <si>
    <t>이봉학</t>
  </si>
  <si>
    <t>오천읍 세계리 827-1 한미아파트 602호</t>
  </si>
  <si>
    <t>황보상익</t>
  </si>
  <si>
    <t>김영구</t>
  </si>
  <si>
    <t>경상북도 포항시 북구 장성동 1364-1 산호그린맨션7차 101-1202</t>
  </si>
  <si>
    <t>김무선</t>
  </si>
  <si>
    <t>경상북도 포항시 남구 오천읍 원리 892 부영사랑으로 112-904</t>
  </si>
  <si>
    <t>임채일외 1인</t>
  </si>
  <si>
    <t>부산광역시 연제구 거제동 129-1 한양아파트 5-71</t>
  </si>
  <si>
    <t xml:space="preserve">경상북도 </t>
  </si>
  <si>
    <t>이욱호</t>
  </si>
  <si>
    <t>포항시 북구 죽도동 661-34</t>
  </si>
  <si>
    <t>김우식외 2인</t>
  </si>
  <si>
    <t>경상북도 포항시 남구 동해면 금광리 534-7</t>
  </si>
  <si>
    <t>임채일외 3인</t>
  </si>
  <si>
    <t>오진률</t>
  </si>
  <si>
    <t>영일군 지행면 정천동 496</t>
  </si>
  <si>
    <t>김기훈</t>
  </si>
  <si>
    <t>경상북도 포항시 남구 장기면 정천리 483</t>
  </si>
  <si>
    <t>이숙자</t>
  </si>
  <si>
    <t>경상북도 포항시 남구 장기면 정천리 353</t>
  </si>
  <si>
    <t>이상근</t>
  </si>
  <si>
    <t>오천읍 세계동 833</t>
  </si>
  <si>
    <t>손영목</t>
  </si>
  <si>
    <t>오천읍 세계리 841-6</t>
  </si>
  <si>
    <t>이남호</t>
  </si>
  <si>
    <t>오천읍 용덕리 261-20</t>
  </si>
  <si>
    <t>김부출</t>
  </si>
  <si>
    <t>오천읍 용덕동 293</t>
  </si>
  <si>
    <t>김순구</t>
  </si>
  <si>
    <t>이도형외 1인</t>
  </si>
  <si>
    <t>대구시 북구 고성동 2가 4-2</t>
  </si>
  <si>
    <t>김기환</t>
  </si>
  <si>
    <t>경상북도 포항시 북구 두호동 1023-7 삼성아파트 507호</t>
  </si>
  <si>
    <t>김종석</t>
  </si>
  <si>
    <t>경상북도 포항시 북구 죽도동 85-20</t>
  </si>
  <si>
    <t>이상도</t>
  </si>
  <si>
    <t>북구 죽도동 637-4</t>
  </si>
  <si>
    <t>주은선</t>
  </si>
  <si>
    <t>경상북도 포항시 남구 연일읍 유강길9번길 62,104동 1501호(대림한숲타운1차)</t>
  </si>
  <si>
    <t>강정화외 2인</t>
  </si>
  <si>
    <t>경상북도 포항시 북구 환호동 400-1</t>
  </si>
  <si>
    <t>김석출</t>
  </si>
  <si>
    <t>정천리 410</t>
  </si>
  <si>
    <t>경상북도 포항시 남구 해도동 125-1</t>
  </si>
  <si>
    <t>이석태</t>
  </si>
  <si>
    <t>김현숙</t>
  </si>
  <si>
    <t>경상북도 포항시 남구 장기면 정천리 319-4</t>
  </si>
  <si>
    <t>김헌석</t>
  </si>
  <si>
    <t>권성훈</t>
  </si>
  <si>
    <t>경상북도 포항시 남구 장기면 정천리 149-1</t>
  </si>
  <si>
    <t>오현숙</t>
  </si>
  <si>
    <t>북구 용흥동 366 우방타운 109동 1305호</t>
  </si>
  <si>
    <t>권준열외 1인</t>
  </si>
  <si>
    <t>북구 학잠동 21-1 대림힐타운 108동 403호</t>
  </si>
  <si>
    <t>이남석</t>
  </si>
  <si>
    <t>북구 두호동 1085-4 산호그린6차 402호</t>
  </si>
  <si>
    <t>김헌섭</t>
  </si>
  <si>
    <t>정천리 496</t>
  </si>
  <si>
    <t>김석분</t>
  </si>
  <si>
    <t>경상북도 포항시 남구 장기면 정천리 512</t>
  </si>
  <si>
    <t>최낙현</t>
  </si>
  <si>
    <t>대잠동 이동지구 35블럭5롯트 이동현대홈타운 112동 301호</t>
  </si>
  <si>
    <t>한재헌</t>
  </si>
  <si>
    <t>오천읍 세계리 838-3</t>
  </si>
  <si>
    <t>안병훈</t>
  </si>
  <si>
    <t>조범식</t>
  </si>
  <si>
    <t>경상북도 포항시 남구 청림로 34,나동 302호 (청림동,삼영하이츠빌라)</t>
  </si>
  <si>
    <t>이원구</t>
  </si>
  <si>
    <t>영일군 지행면 정천리 450</t>
  </si>
  <si>
    <t>하연이</t>
  </si>
  <si>
    <t>153-4</t>
  </si>
  <si>
    <t>경상북도 포항시 남구 장기면 장기로 1287번길 61-13</t>
  </si>
  <si>
    <t xml:space="preserve">천해용 외 2인 </t>
  </si>
  <si>
    <t>오천면 광명동 219</t>
  </si>
  <si>
    <t>이정호 외 1인</t>
  </si>
  <si>
    <t>오천읍 세계리 827-1</t>
  </si>
  <si>
    <t>이능춘</t>
  </si>
  <si>
    <t>최석순</t>
  </si>
  <si>
    <t>경상북도 포항시 남구 오천읍 원리 302블록4롯트 부영사랑으로 210-501</t>
  </si>
  <si>
    <t>이석은</t>
  </si>
  <si>
    <t>연일읍 생지리 399 형산강변타운 106동 1405호</t>
  </si>
  <si>
    <t>평택임씨충민공파휘재일장성문중</t>
  </si>
  <si>
    <t>포항시 남구 오천읍 용덕리 364-10</t>
  </si>
  <si>
    <t>조영기 외1인</t>
  </si>
  <si>
    <t>죽도동 332-17</t>
  </si>
  <si>
    <t>조일권</t>
  </si>
  <si>
    <t>오천면 청림동</t>
  </si>
  <si>
    <t>조종흠</t>
  </si>
  <si>
    <t>김일수</t>
  </si>
  <si>
    <t>경상북도 포항시 남구 오천읍 세계리 223</t>
  </si>
  <si>
    <t>오천면 세계동 223</t>
  </si>
  <si>
    <t>김무룡</t>
  </si>
  <si>
    <t>김기훈 외 1인</t>
  </si>
  <si>
    <t>조현기 외 1인</t>
  </si>
  <si>
    <t>청림동 412</t>
  </si>
  <si>
    <t>조정선 외 4인</t>
  </si>
  <si>
    <t>경기도 성남시 분당구 삼평동 726 봇들마을 509-301</t>
  </si>
  <si>
    <t>황보분화 외 3인</t>
  </si>
  <si>
    <t>경상북도 포항시 남구 청림동 1178-14</t>
  </si>
  <si>
    <t>포항시 남구 장기면 정천리 601-2</t>
  </si>
  <si>
    <t>김원규 외 1인</t>
  </si>
  <si>
    <t>김경수 외 1인</t>
  </si>
  <si>
    <t>산142-2</t>
  </si>
  <si>
    <t>김원규외 1인</t>
  </si>
  <si>
    <t>손일락</t>
  </si>
  <si>
    <t>경상북도 경주시 강동면 유금리 572</t>
  </si>
  <si>
    <t>이군형 외 1인</t>
  </si>
  <si>
    <t>연일읍 동문리 330</t>
  </si>
  <si>
    <t>김원</t>
  </si>
  <si>
    <t>경기도 가평군 북면 도대리 산233-1</t>
  </si>
  <si>
    <t>지외식 외 1인</t>
  </si>
  <si>
    <t>경기도 안양시 동안구 임곡로 43, 109-1605(비산동,그린빌주공아파트)</t>
  </si>
  <si>
    <t>경상북도 포항시 남구 장기면 정천리 496</t>
  </si>
  <si>
    <t>박억수 외 3인</t>
  </si>
  <si>
    <t>부산광역시 부산진구 초읍동 514-2</t>
  </si>
  <si>
    <t>김향로</t>
  </si>
  <si>
    <t>부산광역시 금정구 구서동 1049 구서동롯데캐슬골드 804-1903</t>
  </si>
  <si>
    <t>경주김씨대장군공파수일종중회</t>
  </si>
  <si>
    <t>경상북도 포항시 남구 동해면 금광리 612</t>
  </si>
  <si>
    <t>허영식 외 12인</t>
  </si>
  <si>
    <t>부산광역시 영도구 동삼동 970-1 우석빌라 202호</t>
  </si>
  <si>
    <t>정희진 외 5인</t>
  </si>
  <si>
    <t>부산광역시 기장군 기장읍 대라리 130-6</t>
  </si>
  <si>
    <t>최선숙 외 5인</t>
  </si>
  <si>
    <t>부산광역시 사하구 장림동 372-4 현대아파트 2-316</t>
  </si>
  <si>
    <t>정점희</t>
  </si>
  <si>
    <t>경상남도 밀양시 내이동 1516-9 진덕디오스아파트3차 601호</t>
  </si>
  <si>
    <t>이정환 외 1인</t>
  </si>
  <si>
    <t>대구광역시 달서구 상인동 42 보성은하아파트 107-911</t>
  </si>
  <si>
    <t>엄장부</t>
  </si>
  <si>
    <t>오천읍 용덕동 369-8</t>
  </si>
  <si>
    <t>공</t>
  </si>
  <si>
    <t>조정득</t>
  </si>
  <si>
    <t>서울시 양천구 신정동314 목동신시가지아파트 807-201</t>
  </si>
  <si>
    <t>김도환</t>
  </si>
  <si>
    <t>604-4</t>
  </si>
  <si>
    <t>518-1</t>
  </si>
  <si>
    <t>전</t>
  </si>
  <si>
    <t>남포항농업협동조합</t>
  </si>
  <si>
    <t>연일읍 생지리 316-1(유강지점)</t>
  </si>
  <si>
    <t>근저당권
지상권</t>
  </si>
  <si>
    <t>압류</t>
  </si>
  <si>
    <t>대구시동구청</t>
  </si>
  <si>
    <t>구룡포읍 석병리 1961-1</t>
  </si>
  <si>
    <t>가처분</t>
  </si>
  <si>
    <t>동해농협협동조합</t>
  </si>
  <si>
    <t>도구리 632-1</t>
  </si>
  <si>
    <t>근저당권</t>
  </si>
  <si>
    <t>북구 대신동 1-18</t>
  </si>
  <si>
    <t>오천농업협동조합</t>
  </si>
  <si>
    <t>오천읍 문덕리 24-6</t>
  </si>
  <si>
    <t>경북오천신용협동조합</t>
  </si>
  <si>
    <t>오천읍 구정리 33-7</t>
  </si>
  <si>
    <t>오천읍 용덕리 261-7</t>
  </si>
  <si>
    <t>가압류</t>
  </si>
  <si>
    <t>박진원</t>
  </si>
  <si>
    <t>효행길47번길 10,24호(효자동,에프주택)</t>
  </si>
  <si>
    <t>상대새마을금고</t>
  </si>
  <si>
    <t>대도동 159-8</t>
  </si>
  <si>
    <t>포항세무서외1인</t>
  </si>
  <si>
    <t>압류
가압류</t>
  </si>
  <si>
    <t>늘푸른새마을금고</t>
  </si>
  <si>
    <t>북구 대흥동 595-162</t>
  </si>
  <si>
    <t>강구범</t>
  </si>
  <si>
    <t>강원도 횡성군 우천면 우황리 505</t>
  </si>
  <si>
    <t>지상권</t>
  </si>
  <si>
    <t>신포항새마을금고</t>
  </si>
  <si>
    <t>북구 득량동 146-2</t>
  </si>
  <si>
    <t>장기농업협동조합</t>
  </si>
  <si>
    <t>읍내리 26-1</t>
  </si>
  <si>
    <t>농업협동조합중앙회</t>
  </si>
  <si>
    <t>서울시 중구 충정로1가 75(해도지점)</t>
  </si>
  <si>
    <t>김성광외1인</t>
  </si>
  <si>
    <t>미등기</t>
  </si>
  <si>
    <t>포항수산업협동조합</t>
  </si>
  <si>
    <t>진주하씨문효공파구평2리도문중</t>
  </si>
  <si>
    <t>북구 양덕로 60,101동402호 (양덕동, 포항양덕풍림아이원)</t>
  </si>
  <si>
    <t>567-3</t>
  </si>
  <si>
    <t>566-11</t>
  </si>
  <si>
    <t>566-10</t>
  </si>
  <si>
    <t>이상문</t>
  </si>
  <si>
    <t>319-16</t>
  </si>
  <si>
    <t>319-15</t>
  </si>
  <si>
    <t>대</t>
  </si>
  <si>
    <t>주</t>
  </si>
  <si>
    <t>포항시 남구 동해면 상정리 894-2</t>
  </si>
  <si>
    <t>해주오씨정헌공파정천(참생이)문중외1인</t>
  </si>
  <si>
    <t>242-5</t>
  </si>
  <si>
    <t>곽봉규</t>
  </si>
  <si>
    <t>주유소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</si>
</sst>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#,##0_ "/>
    <numFmt numFmtId="179" formatCode="#,##0_);[Red]\(#,##0\)"/>
    <numFmt numFmtId="180" formatCode="&quot;₩&quot;#,##0;[Red]&quot;₩&quot;&quot;₩&quot;\-#,##0"/>
    <numFmt numFmtId="181" formatCode="&quot;₩&quot;#,##0.00;[Red]&quot;₩&quot;&quot;₩&quot;&quot;₩&quot;&quot;₩&quot;&quot;₩&quot;&quot;₩&quot;\-#,##0.00"/>
    <numFmt numFmtId="182" formatCode="&quot;₩&quot;#,##0;&quot;₩&quot;&quot;₩&quot;&quot;₩&quot;&quot;₩&quot;&quot;₩&quot;&quot;₩&quot;&quot;₩&quot;&quot;₩&quot;\-#,##0"/>
    <numFmt numFmtId="183" formatCode="&quot;₩&quot;#,##0.00;&quot;₩&quot;&quot;₩&quot;&quot;₩&quot;&quot;₩&quot;&quot;₩&quot;&quot;₩&quot;&quot;₩&quot;&quot;₩&quot;\-#,##0.00"/>
    <numFmt numFmtId="184" formatCode="0;[Red]0"/>
    <numFmt numFmtId="185" formatCode="0_);[Red]\(0\)"/>
    <numFmt numFmtId="186" formatCode="#,##0;[Red]#,##0"/>
    <numFmt numFmtId="187" formatCode="0_ "/>
    <numFmt numFmtId="188" formatCode="mm&quot;월&quot;\ dd&quot;일&quot;"/>
    <numFmt numFmtId="189" formatCode="#,##0.0_ "/>
    <numFmt numFmtId="190" formatCode="#,##0.00_ "/>
    <numFmt numFmtId="191" formatCode="#,##0.000_ "/>
    <numFmt numFmtId="192" formatCode="#,##0.0_);[Red]\(#,##0.0\)"/>
    <numFmt numFmtId="193" formatCode="00.0"/>
    <numFmt numFmtId="194" formatCode="0,000.0"/>
    <numFmt numFmtId="195" formatCode="0.0"/>
    <numFmt numFmtId="196" formatCode="0.0_);[Red]\(0.0\)"/>
    <numFmt numFmtId="197" formatCode="0.0_ "/>
  </numFmts>
  <fonts count="57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sz val="10"/>
      <name val="바탕체"/>
      <family val="1"/>
    </font>
    <font>
      <sz val="10"/>
      <name val="Arial"/>
      <family val="2"/>
    </font>
    <font>
      <sz val="12"/>
      <name val="뼻뮝"/>
      <family val="1"/>
    </font>
    <font>
      <sz val="10"/>
      <name val="돋움체"/>
      <family val="3"/>
    </font>
    <font>
      <sz val="10"/>
      <name val="Times New Roman"/>
      <family val="1"/>
    </font>
    <font>
      <sz val="8"/>
      <name val="돋움"/>
      <family val="3"/>
    </font>
    <font>
      <sz val="9"/>
      <name val="돋움체"/>
      <family val="3"/>
    </font>
    <font>
      <b/>
      <sz val="22"/>
      <name val="돋움체"/>
      <family val="3"/>
    </font>
    <font>
      <sz val="11"/>
      <name val="돋움체"/>
      <family val="3"/>
    </font>
    <font>
      <b/>
      <sz val="9"/>
      <name val="돋움체"/>
      <family val="3"/>
    </font>
    <font>
      <b/>
      <sz val="24"/>
      <name val="돋움체"/>
      <family val="3"/>
    </font>
    <font>
      <vertAlign val="superscript"/>
      <sz val="10"/>
      <name val="돋움체"/>
      <family val="3"/>
    </font>
    <font>
      <sz val="6"/>
      <name val="돋움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8"/>
      <name val="돋움체"/>
      <family val="3"/>
    </font>
    <font>
      <b/>
      <sz val="11"/>
      <name val="돋움체"/>
      <family val="3"/>
    </font>
    <font>
      <sz val="7"/>
      <name val="돋움체"/>
      <family val="3"/>
    </font>
    <font>
      <sz val="5"/>
      <name val="돋움체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9" fontId="0" fillId="0" borderId="0">
      <alignment/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0" fillId="0" borderId="0">
      <alignment/>
      <protection locked="0"/>
    </xf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79" fontId="0" fillId="0" borderId="0">
      <alignment/>
      <protection locked="0"/>
    </xf>
    <xf numFmtId="179" fontId="0" fillId="0" borderId="0">
      <alignment/>
      <protection locked="0"/>
    </xf>
    <xf numFmtId="179" fontId="0" fillId="0" borderId="0">
      <alignment/>
      <protection locked="0"/>
    </xf>
    <xf numFmtId="179" fontId="0" fillId="0" borderId="0">
      <alignment/>
      <protection locked="0"/>
    </xf>
    <xf numFmtId="0" fontId="5" fillId="0" borderId="0">
      <alignment/>
      <protection/>
    </xf>
    <xf numFmtId="179" fontId="0" fillId="0" borderId="0">
      <alignment/>
      <protection locked="0"/>
    </xf>
    <xf numFmtId="179" fontId="0" fillId="0" borderId="1">
      <alignment/>
      <protection locked="0"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0" fontId="0" fillId="28" borderId="3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1" borderId="2" applyNumberFormat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10" applyNumberFormat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10" fillId="0" borderId="0" xfId="78" applyFont="1">
      <alignment/>
      <protection/>
    </xf>
    <xf numFmtId="178" fontId="10" fillId="0" borderId="0" xfId="78" applyNumberFormat="1" applyFont="1" applyBorder="1" applyAlignment="1" applyProtection="1">
      <alignment horizontal="center" vertical="center" wrapText="1"/>
      <protection/>
    </xf>
    <xf numFmtId="0" fontId="7" fillId="0" borderId="0" xfId="79" applyFont="1" applyBorder="1" applyAlignment="1">
      <alignment horizontal="distributed"/>
      <protection/>
    </xf>
    <xf numFmtId="0" fontId="7" fillId="0" borderId="0" xfId="79" applyFont="1" applyBorder="1">
      <alignment/>
      <protection/>
    </xf>
    <xf numFmtId="0" fontId="7" fillId="0" borderId="0" xfId="79" applyFont="1" applyBorder="1" applyAlignment="1">
      <alignment horizontal="centerContinuous" vertical="center"/>
      <protection/>
    </xf>
    <xf numFmtId="0" fontId="7" fillId="0" borderId="0" xfId="79" applyFont="1" applyAlignment="1">
      <alignment horizontal="centerContinuous" vertical="center"/>
      <protection/>
    </xf>
    <xf numFmtId="0" fontId="7" fillId="0" borderId="0" xfId="79" applyFont="1" applyAlignment="1">
      <alignment vertical="center"/>
      <protection/>
    </xf>
    <xf numFmtId="0" fontId="12" fillId="0" borderId="0" xfId="79" applyFont="1" applyBorder="1" applyAlignment="1" applyProtection="1">
      <alignment horizontal="centerContinuous" vertical="center"/>
      <protection/>
    </xf>
    <xf numFmtId="0" fontId="12" fillId="0" borderId="0" xfId="79" applyFont="1" applyAlignment="1">
      <alignment horizontal="centerContinuous" vertical="center"/>
      <protection/>
    </xf>
    <xf numFmtId="0" fontId="7" fillId="0" borderId="0" xfId="79" applyFont="1">
      <alignment/>
      <protection/>
    </xf>
    <xf numFmtId="0" fontId="10" fillId="0" borderId="0" xfId="79" applyFont="1" applyAlignment="1">
      <alignment horizontal="center" vertical="center"/>
      <protection/>
    </xf>
    <xf numFmtId="0" fontId="10" fillId="0" borderId="0" xfId="79" applyFont="1">
      <alignment/>
      <protection/>
    </xf>
    <xf numFmtId="0" fontId="10" fillId="0" borderId="0" xfId="79" applyFont="1" applyAlignment="1">
      <alignment horizontal="center" vertical="center" wrapText="1"/>
      <protection/>
    </xf>
    <xf numFmtId="179" fontId="10" fillId="0" borderId="0" xfId="79" applyNumberFormat="1" applyFont="1" applyAlignment="1">
      <alignment horizontal="center" vertical="center"/>
      <protection/>
    </xf>
    <xf numFmtId="0" fontId="12" fillId="0" borderId="0" xfId="79" applyFont="1" applyBorder="1" applyAlignment="1">
      <alignment horizontal="distributed"/>
      <protection/>
    </xf>
    <xf numFmtId="0" fontId="12" fillId="0" borderId="0" xfId="79" applyFont="1" applyBorder="1">
      <alignment/>
      <protection/>
    </xf>
    <xf numFmtId="178" fontId="12" fillId="0" borderId="11" xfId="79" applyNumberFormat="1" applyFont="1" applyBorder="1" applyAlignment="1">
      <alignment horizontal="right" vertical="center"/>
      <protection/>
    </xf>
    <xf numFmtId="178" fontId="12" fillId="0" borderId="12" xfId="79" applyNumberFormat="1" applyFont="1" applyBorder="1" applyAlignment="1">
      <alignment horizontal="right" vertical="center"/>
      <protection/>
    </xf>
    <xf numFmtId="178" fontId="12" fillId="0" borderId="13" xfId="79" applyNumberFormat="1" applyFont="1" applyBorder="1" applyAlignment="1">
      <alignment horizontal="right" vertical="center"/>
      <protection/>
    </xf>
    <xf numFmtId="179" fontId="12" fillId="0" borderId="14" xfId="79" applyNumberFormat="1" applyFont="1" applyBorder="1" applyAlignment="1">
      <alignment horizontal="center" vertical="center"/>
      <protection/>
    </xf>
    <xf numFmtId="178" fontId="12" fillId="0" borderId="15" xfId="79" applyNumberFormat="1" applyFont="1" applyBorder="1" applyAlignment="1">
      <alignment horizontal="right" vertical="center"/>
      <protection/>
    </xf>
    <xf numFmtId="0" fontId="12" fillId="0" borderId="16" xfId="79" applyFont="1" applyBorder="1" applyAlignment="1">
      <alignment horizontal="distributed" vertical="center" wrapText="1"/>
      <protection/>
    </xf>
    <xf numFmtId="0" fontId="12" fillId="0" borderId="15" xfId="79" applyFont="1" applyBorder="1" applyAlignment="1">
      <alignment horizontal="center" vertical="center"/>
      <protection/>
    </xf>
    <xf numFmtId="0" fontId="12" fillId="0" borderId="16" xfId="79" applyFont="1" applyBorder="1" applyAlignment="1">
      <alignment horizontal="distributed" vertical="distributed" wrapText="1"/>
      <protection/>
    </xf>
    <xf numFmtId="0" fontId="12" fillId="0" borderId="17" xfId="79" applyFont="1" applyBorder="1" applyAlignment="1">
      <alignment horizontal="distributed" vertical="center" wrapText="1"/>
      <protection/>
    </xf>
    <xf numFmtId="0" fontId="12" fillId="0" borderId="18" xfId="79" applyFont="1" applyBorder="1" applyAlignment="1">
      <alignment horizontal="distributed" vertical="center" wrapText="1"/>
      <protection/>
    </xf>
    <xf numFmtId="178" fontId="12" fillId="0" borderId="19" xfId="79" applyNumberFormat="1" applyFont="1" applyBorder="1" applyAlignment="1">
      <alignment horizontal="right" vertical="center"/>
      <protection/>
    </xf>
    <xf numFmtId="179" fontId="12" fillId="0" borderId="20" xfId="79" applyNumberFormat="1" applyFont="1" applyBorder="1" applyAlignment="1">
      <alignment horizontal="center" vertical="center"/>
      <protection/>
    </xf>
    <xf numFmtId="178" fontId="12" fillId="0" borderId="21" xfId="79" applyNumberFormat="1" applyFont="1" applyBorder="1" applyAlignment="1">
      <alignment horizontal="right" vertical="center"/>
      <protection/>
    </xf>
    <xf numFmtId="0" fontId="12" fillId="0" borderId="21" xfId="79" applyFont="1" applyBorder="1" applyAlignment="1">
      <alignment horizontal="center" vertical="center"/>
      <protection/>
    </xf>
    <xf numFmtId="0" fontId="12" fillId="0" borderId="22" xfId="79" applyFont="1" applyBorder="1" applyAlignment="1">
      <alignment horizontal="distributed" wrapText="1"/>
      <protection/>
    </xf>
    <xf numFmtId="0" fontId="12" fillId="0" borderId="23" xfId="79" applyFont="1" applyBorder="1" applyAlignment="1">
      <alignment horizontal="centerContinuous" vertical="center"/>
      <protection/>
    </xf>
    <xf numFmtId="0" fontId="12" fillId="0" borderId="24" xfId="79" applyFont="1" applyBorder="1" applyAlignment="1">
      <alignment horizontal="centerContinuous" vertical="center"/>
      <protection/>
    </xf>
    <xf numFmtId="0" fontId="12" fillId="0" borderId="25" xfId="79" applyFont="1" applyBorder="1" applyAlignment="1">
      <alignment horizontal="centerContinuous" vertical="center"/>
      <protection/>
    </xf>
    <xf numFmtId="0" fontId="12" fillId="0" borderId="25" xfId="79" applyFont="1" applyBorder="1" applyAlignment="1">
      <alignment horizontal="distributed" wrapText="1"/>
      <protection/>
    </xf>
    <xf numFmtId="0" fontId="14" fillId="0" borderId="0" xfId="79" applyFont="1" applyBorder="1" applyAlignment="1">
      <alignment horizontal="centerContinuous" vertical="center"/>
      <protection/>
    </xf>
    <xf numFmtId="0" fontId="12" fillId="0" borderId="26" xfId="79" applyFont="1" applyBorder="1" applyAlignment="1">
      <alignment horizontal="distributed" wrapText="1"/>
      <protection/>
    </xf>
    <xf numFmtId="0" fontId="12" fillId="0" borderId="27" xfId="79" applyFont="1" applyBorder="1" applyAlignment="1">
      <alignment horizontal="distributed" vertical="center" wrapText="1"/>
      <protection/>
    </xf>
    <xf numFmtId="0" fontId="12" fillId="0" borderId="28" xfId="79" applyFont="1" applyBorder="1" applyAlignment="1">
      <alignment horizontal="distributed" vertical="center" wrapText="1"/>
      <protection/>
    </xf>
    <xf numFmtId="0" fontId="12" fillId="0" borderId="29" xfId="79" applyFont="1" applyBorder="1" applyAlignment="1">
      <alignment horizontal="distributed" vertical="center" wrapText="1"/>
      <protection/>
    </xf>
    <xf numFmtId="0" fontId="12" fillId="0" borderId="29" xfId="79" applyFont="1" applyBorder="1" applyAlignment="1">
      <alignment horizontal="center" vertical="center" wrapText="1"/>
      <protection/>
    </xf>
    <xf numFmtId="0" fontId="12" fillId="0" borderId="30" xfId="79" applyFont="1" applyBorder="1">
      <alignment/>
      <protection/>
    </xf>
    <xf numFmtId="0" fontId="12" fillId="0" borderId="31" xfId="79" applyFont="1" applyBorder="1" applyAlignment="1">
      <alignment horizontal="distributed" vertical="center" wrapText="1"/>
      <protection/>
    </xf>
    <xf numFmtId="179" fontId="12" fillId="0" borderId="32" xfId="79" applyNumberFormat="1" applyFont="1" applyBorder="1" applyAlignment="1">
      <alignment horizontal="center" vertical="center"/>
      <protection/>
    </xf>
    <xf numFmtId="0" fontId="12" fillId="0" borderId="12" xfId="79" applyFont="1" applyBorder="1" applyAlignment="1">
      <alignment horizontal="center" vertical="center"/>
      <protection/>
    </xf>
    <xf numFmtId="0" fontId="12" fillId="0" borderId="33" xfId="79" applyFont="1" applyBorder="1" applyAlignment="1">
      <alignment horizontal="distributed" vertical="center" wrapText="1"/>
      <protection/>
    </xf>
    <xf numFmtId="178" fontId="12" fillId="0" borderId="34" xfId="79" applyNumberFormat="1" applyFont="1" applyBorder="1" applyAlignment="1">
      <alignment horizontal="right" vertical="center"/>
      <protection/>
    </xf>
    <xf numFmtId="179" fontId="12" fillId="0" borderId="35" xfId="79" applyNumberFormat="1" applyFont="1" applyBorder="1" applyAlignment="1">
      <alignment horizontal="center" vertical="center"/>
      <protection/>
    </xf>
    <xf numFmtId="178" fontId="12" fillId="0" borderId="36" xfId="79" applyNumberFormat="1" applyFont="1" applyBorder="1" applyAlignment="1">
      <alignment horizontal="right" vertical="center"/>
      <protection/>
    </xf>
    <xf numFmtId="0" fontId="12" fillId="0" borderId="36" xfId="79" applyFont="1" applyBorder="1" applyAlignment="1">
      <alignment horizontal="center" vertical="center"/>
      <protection/>
    </xf>
    <xf numFmtId="0" fontId="10" fillId="0" borderId="0" xfId="78" applyFont="1" applyFill="1" applyAlignment="1" applyProtection="1">
      <alignment horizontal="center"/>
      <protection/>
    </xf>
    <xf numFmtId="0" fontId="10" fillId="0" borderId="0" xfId="78" applyFont="1" applyFill="1" applyBorder="1" applyProtection="1">
      <alignment/>
      <protection/>
    </xf>
    <xf numFmtId="0" fontId="10" fillId="0" borderId="0" xfId="78" applyFont="1" applyFill="1">
      <alignment/>
      <protection/>
    </xf>
    <xf numFmtId="0" fontId="10" fillId="0" borderId="0" xfId="78" applyFont="1" applyFill="1" applyProtection="1">
      <alignment/>
      <protection/>
    </xf>
    <xf numFmtId="49" fontId="10" fillId="0" borderId="0" xfId="78" applyNumberFormat="1" applyFont="1" applyFill="1" applyProtection="1">
      <alignment/>
      <protection/>
    </xf>
    <xf numFmtId="0" fontId="12" fillId="0" borderId="0" xfId="0" applyFont="1" applyFill="1" applyAlignment="1">
      <alignment/>
    </xf>
    <xf numFmtId="0" fontId="10" fillId="0" borderId="0" xfId="78" applyFont="1" applyFill="1" applyBorder="1" applyAlignment="1" applyProtection="1">
      <alignment horizontal="center"/>
      <protection/>
    </xf>
    <xf numFmtId="0" fontId="7" fillId="0" borderId="0" xfId="78" applyFont="1" applyFill="1" applyBorder="1" applyAlignment="1" applyProtection="1">
      <alignment horizontal="center"/>
      <protection/>
    </xf>
    <xf numFmtId="178" fontId="7" fillId="0" borderId="0" xfId="78" applyNumberFormat="1" applyFont="1" applyFill="1" applyBorder="1" applyAlignment="1" applyProtection="1">
      <alignment horizontal="center" vertical="center" wrapText="1"/>
      <protection/>
    </xf>
    <xf numFmtId="0" fontId="7" fillId="0" borderId="0" xfId="78" applyFont="1" applyFill="1">
      <alignment/>
      <protection/>
    </xf>
    <xf numFmtId="0" fontId="7" fillId="0" borderId="0" xfId="78" applyFont="1" applyFill="1" applyBorder="1" applyAlignment="1" applyProtection="1">
      <alignment horizontal="center" vertical="top"/>
      <protection/>
    </xf>
    <xf numFmtId="178" fontId="10" fillId="0" borderId="0" xfId="78" applyNumberFormat="1" applyFont="1" applyFill="1" applyBorder="1" applyAlignment="1" applyProtection="1">
      <alignment horizontal="center" vertical="center"/>
      <protection/>
    </xf>
    <xf numFmtId="178" fontId="7" fillId="0" borderId="0" xfId="78" applyNumberFormat="1" applyFont="1" applyFill="1" applyBorder="1" applyAlignment="1" applyProtection="1">
      <alignment horizontal="center" vertical="center"/>
      <protection/>
    </xf>
    <xf numFmtId="0" fontId="7" fillId="0" borderId="0" xfId="78" applyFont="1" applyFill="1" applyBorder="1" applyProtection="1">
      <alignment/>
      <protection/>
    </xf>
    <xf numFmtId="178" fontId="10" fillId="0" borderId="0" xfId="78" applyNumberFormat="1" applyFont="1" applyFill="1" applyBorder="1" applyAlignment="1" applyProtection="1">
      <alignment horizontal="center" vertical="center" wrapText="1"/>
      <protection locked="0"/>
    </xf>
    <xf numFmtId="178" fontId="10" fillId="0" borderId="0" xfId="78" applyNumberFormat="1" applyFont="1" applyFill="1" applyBorder="1" applyAlignment="1" applyProtection="1">
      <alignment horizontal="center" vertical="center" wrapText="1"/>
      <protection/>
    </xf>
    <xf numFmtId="0" fontId="10" fillId="0" borderId="0" xfId="78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49" fontId="10" fillId="0" borderId="0" xfId="78" applyNumberFormat="1" applyFont="1" applyFill="1">
      <alignment/>
      <protection/>
    </xf>
    <xf numFmtId="0" fontId="10" fillId="0" borderId="0" xfId="78" applyFont="1" applyFill="1" applyBorder="1">
      <alignment/>
      <protection/>
    </xf>
    <xf numFmtId="178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Alignment="1">
      <alignment/>
    </xf>
    <xf numFmtId="49" fontId="10" fillId="0" borderId="0" xfId="78" applyNumberFormat="1" applyFont="1" applyFill="1" applyBorder="1" applyProtection="1">
      <alignment/>
      <protection/>
    </xf>
    <xf numFmtId="0" fontId="10" fillId="0" borderId="0" xfId="78" applyFont="1" applyFill="1" applyBorder="1" applyAlignment="1" applyProtection="1">
      <alignment wrapText="1"/>
      <protection/>
    </xf>
    <xf numFmtId="0" fontId="12" fillId="0" borderId="0" xfId="0" applyFont="1" applyFill="1" applyBorder="1" applyAlignment="1">
      <alignment wrapText="1"/>
    </xf>
    <xf numFmtId="0" fontId="10" fillId="0" borderId="0" xfId="78" applyFont="1" applyFill="1" applyAlignment="1">
      <alignment wrapText="1"/>
      <protection/>
    </xf>
    <xf numFmtId="0" fontId="10" fillId="0" borderId="0" xfId="78" applyFont="1" applyFill="1" applyAlignment="1" applyProtection="1">
      <alignment horizontal="center" vertical="center"/>
      <protection/>
    </xf>
    <xf numFmtId="0" fontId="10" fillId="0" borderId="0" xfId="78" applyFont="1" applyFill="1" applyAlignment="1">
      <alignment horizontal="center" vertical="center"/>
      <protection/>
    </xf>
    <xf numFmtId="0" fontId="10" fillId="0" borderId="0" xfId="78" applyFont="1" applyFill="1" applyBorder="1" applyAlignment="1" applyProtection="1">
      <alignment horizontal="center" vertical="center"/>
      <protection/>
    </xf>
    <xf numFmtId="0" fontId="10" fillId="0" borderId="37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 quotePrefix="1">
      <alignment horizontal="center" vertical="center"/>
    </xf>
    <xf numFmtId="178" fontId="10" fillId="0" borderId="37" xfId="0" applyNumberFormat="1" applyFont="1" applyFill="1" applyBorder="1" applyAlignment="1" applyProtection="1">
      <alignment horizontal="center" vertical="center" wrapText="1"/>
      <protection locked="0"/>
    </xf>
    <xf numFmtId="178" fontId="10" fillId="0" borderId="37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 quotePrefix="1">
      <alignment horizontal="center" vertical="center"/>
    </xf>
    <xf numFmtId="0" fontId="10" fillId="0" borderId="37" xfId="78" applyNumberFormat="1" applyFont="1" applyFill="1" applyBorder="1" applyAlignment="1" applyProtection="1">
      <alignment horizontal="center" vertical="center" wrapText="1"/>
      <protection locked="0"/>
    </xf>
    <xf numFmtId="0" fontId="10" fillId="33" borderId="37" xfId="0" applyNumberFormat="1" applyFont="1" applyFill="1" applyBorder="1" applyAlignment="1">
      <alignment horizontal="center" vertical="center"/>
    </xf>
    <xf numFmtId="49" fontId="10" fillId="33" borderId="37" xfId="0" applyNumberFormat="1" applyFont="1" applyFill="1" applyBorder="1" applyAlignment="1">
      <alignment horizontal="center" vertical="center"/>
    </xf>
    <xf numFmtId="0" fontId="11" fillId="33" borderId="0" xfId="78" applyFont="1" applyFill="1" applyAlignment="1" applyProtection="1">
      <alignment horizontal="centerContinuous"/>
      <protection/>
    </xf>
    <xf numFmtId="49" fontId="10" fillId="33" borderId="0" xfId="78" applyNumberFormat="1" applyFont="1" applyFill="1" applyAlignment="1" applyProtection="1">
      <alignment horizontal="centerContinuous"/>
      <protection/>
    </xf>
    <xf numFmtId="0" fontId="10" fillId="33" borderId="0" xfId="78" applyFont="1" applyFill="1" applyAlignment="1" applyProtection="1">
      <alignment horizontal="centerContinuous"/>
      <protection/>
    </xf>
    <xf numFmtId="0" fontId="10" fillId="33" borderId="0" xfId="78" applyFont="1" applyFill="1" applyAlignment="1" applyProtection="1">
      <alignment horizontal="centerContinuous" vertical="center"/>
      <protection/>
    </xf>
    <xf numFmtId="0" fontId="10" fillId="33" borderId="0" xfId="78" applyFont="1" applyFill="1" applyAlignment="1" applyProtection="1">
      <alignment horizontal="center"/>
      <protection/>
    </xf>
    <xf numFmtId="0" fontId="10" fillId="33" borderId="0" xfId="78" applyFont="1" applyFill="1" applyBorder="1" applyProtection="1">
      <alignment/>
      <protection/>
    </xf>
    <xf numFmtId="0" fontId="10" fillId="33" borderId="0" xfId="78" applyFont="1" applyFill="1">
      <alignment/>
      <protection/>
    </xf>
    <xf numFmtId="0" fontId="10" fillId="33" borderId="0" xfId="78" applyFont="1" applyFill="1" applyProtection="1">
      <alignment/>
      <protection/>
    </xf>
    <xf numFmtId="49" fontId="10" fillId="33" borderId="0" xfId="78" applyNumberFormat="1" applyFont="1" applyFill="1" applyProtection="1">
      <alignment/>
      <protection/>
    </xf>
    <xf numFmtId="0" fontId="10" fillId="33" borderId="0" xfId="78" applyFont="1" applyFill="1" applyAlignment="1" applyProtection="1">
      <alignment horizontal="right" vertical="center"/>
      <protection/>
    </xf>
    <xf numFmtId="0" fontId="12" fillId="33" borderId="0" xfId="0" applyFont="1" applyFill="1" applyAlignment="1">
      <alignment/>
    </xf>
    <xf numFmtId="0" fontId="10" fillId="33" borderId="0" xfId="78" applyFont="1" applyFill="1" applyBorder="1" applyAlignment="1" applyProtection="1">
      <alignment horizontal="center"/>
      <protection/>
    </xf>
    <xf numFmtId="0" fontId="7" fillId="33" borderId="37" xfId="78" applyFont="1" applyFill="1" applyBorder="1" applyAlignment="1" applyProtection="1">
      <alignment horizontal="centerContinuous" vertical="center"/>
      <protection/>
    </xf>
    <xf numFmtId="0" fontId="7" fillId="33" borderId="37" xfId="78" applyFont="1" applyFill="1" applyBorder="1" applyAlignment="1" applyProtection="1">
      <alignment horizontal="centerContinuous" vertical="center" wrapText="1"/>
      <protection/>
    </xf>
    <xf numFmtId="0" fontId="7" fillId="33" borderId="0" xfId="78" applyFont="1" applyFill="1" applyBorder="1" applyAlignment="1" applyProtection="1">
      <alignment horizontal="center"/>
      <protection/>
    </xf>
    <xf numFmtId="178" fontId="7" fillId="33" borderId="0" xfId="78" applyNumberFormat="1" applyFont="1" applyFill="1" applyBorder="1" applyAlignment="1" applyProtection="1">
      <alignment horizontal="center" vertical="center" wrapText="1"/>
      <protection/>
    </xf>
    <xf numFmtId="0" fontId="7" fillId="33" borderId="0" xfId="78" applyFont="1" applyFill="1">
      <alignment/>
      <protection/>
    </xf>
    <xf numFmtId="0" fontId="7" fillId="33" borderId="0" xfId="78" applyFont="1" applyFill="1" applyBorder="1" applyAlignment="1" applyProtection="1">
      <alignment horizontal="center" vertical="top"/>
      <protection/>
    </xf>
    <xf numFmtId="178" fontId="10" fillId="33" borderId="0" xfId="78" applyNumberFormat="1" applyFont="1" applyFill="1" applyBorder="1" applyAlignment="1" applyProtection="1">
      <alignment horizontal="center" vertical="center"/>
      <protection/>
    </xf>
    <xf numFmtId="178" fontId="7" fillId="33" borderId="0" xfId="78" applyNumberFormat="1" applyFont="1" applyFill="1" applyBorder="1" applyAlignment="1" applyProtection="1">
      <alignment horizontal="center" vertical="center"/>
      <protection/>
    </xf>
    <xf numFmtId="0" fontId="7" fillId="33" borderId="0" xfId="78" applyFont="1" applyFill="1" applyBorder="1" applyProtection="1">
      <alignment/>
      <protection/>
    </xf>
    <xf numFmtId="0" fontId="10" fillId="33" borderId="37" xfId="0" applyNumberFormat="1" applyFont="1" applyFill="1" applyBorder="1" applyAlignment="1" quotePrefix="1">
      <alignment horizontal="center" vertical="center"/>
    </xf>
    <xf numFmtId="178" fontId="10" fillId="33" borderId="37" xfId="0" applyNumberFormat="1" applyFont="1" applyFill="1" applyBorder="1" applyAlignment="1" applyProtection="1">
      <alignment horizontal="center" vertical="center" wrapText="1"/>
      <protection locked="0"/>
    </xf>
    <xf numFmtId="178" fontId="10" fillId="33" borderId="37" xfId="0" applyNumberFormat="1" applyFont="1" applyFill="1" applyBorder="1" applyAlignment="1">
      <alignment vertical="center"/>
    </xf>
    <xf numFmtId="178" fontId="10" fillId="33" borderId="37" xfId="0" applyNumberFormat="1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/>
    </xf>
    <xf numFmtId="178" fontId="10" fillId="33" borderId="0" xfId="78" applyNumberFormat="1" applyFont="1" applyFill="1" applyBorder="1" applyAlignment="1" applyProtection="1">
      <alignment horizontal="center" vertical="center" wrapText="1"/>
      <protection locked="0"/>
    </xf>
    <xf numFmtId="178" fontId="10" fillId="33" borderId="0" xfId="78" applyNumberFormat="1" applyFont="1" applyFill="1" applyBorder="1" applyAlignment="1" applyProtection="1">
      <alignment horizontal="center" vertical="center" wrapText="1"/>
      <protection/>
    </xf>
    <xf numFmtId="49" fontId="12" fillId="33" borderId="0" xfId="0" applyNumberFormat="1" applyFont="1" applyFill="1" applyAlignment="1">
      <alignment/>
    </xf>
    <xf numFmtId="49" fontId="10" fillId="33" borderId="37" xfId="0" applyNumberFormat="1" applyFont="1" applyFill="1" applyBorder="1" applyAlignment="1">
      <alignment horizontal="center" vertical="center" wrapText="1"/>
    </xf>
    <xf numFmtId="49" fontId="10" fillId="33" borderId="37" xfId="0" applyNumberFormat="1" applyFont="1" applyFill="1" applyBorder="1" applyAlignment="1" quotePrefix="1">
      <alignment horizontal="center" vertical="center"/>
    </xf>
    <xf numFmtId="0" fontId="10" fillId="33" borderId="37" xfId="78" applyNumberFormat="1" applyFont="1" applyFill="1" applyBorder="1" applyAlignment="1" applyProtection="1">
      <alignment horizontal="center" vertical="center" wrapText="1"/>
      <protection locked="0"/>
    </xf>
    <xf numFmtId="178" fontId="21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78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>
      <alignment/>
    </xf>
    <xf numFmtId="0" fontId="21" fillId="33" borderId="37" xfId="0" applyFont="1" applyFill="1" applyBorder="1" applyAlignment="1">
      <alignment horizontal="center" vertical="center" wrapText="1"/>
    </xf>
    <xf numFmtId="178" fontId="16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37" xfId="0" applyFont="1" applyFill="1" applyBorder="1" applyAlignment="1">
      <alignment horizontal="center" vertical="center" wrapText="1"/>
    </xf>
    <xf numFmtId="49" fontId="10" fillId="33" borderId="0" xfId="78" applyNumberFormat="1" applyFont="1" applyFill="1">
      <alignment/>
      <protection/>
    </xf>
    <xf numFmtId="0" fontId="10" fillId="33" borderId="0" xfId="78" applyFont="1" applyFill="1" applyAlignment="1">
      <alignment horizontal="right" vertical="center"/>
      <protection/>
    </xf>
    <xf numFmtId="0" fontId="10" fillId="33" borderId="0" xfId="78" applyFont="1" applyFill="1" applyBorder="1">
      <alignment/>
      <protection/>
    </xf>
    <xf numFmtId="0" fontId="7" fillId="33" borderId="37" xfId="78" applyFont="1" applyFill="1" applyBorder="1" applyAlignment="1" applyProtection="1">
      <alignment horizontal="center" vertical="center" wrapText="1"/>
      <protection/>
    </xf>
    <xf numFmtId="0" fontId="7" fillId="33" borderId="37" xfId="78" applyFont="1" applyFill="1" applyBorder="1" applyAlignment="1" applyProtection="1">
      <alignment horizontal="center" vertical="center"/>
      <protection/>
    </xf>
    <xf numFmtId="0" fontId="21" fillId="33" borderId="37" xfId="78" applyNumberFormat="1" applyFont="1" applyFill="1" applyBorder="1" applyAlignment="1" applyProtection="1">
      <alignment horizontal="center" vertical="center" wrapText="1"/>
      <protection locked="0"/>
    </xf>
    <xf numFmtId="49" fontId="10" fillId="33" borderId="37" xfId="78" applyNumberFormat="1" applyFont="1" applyFill="1" applyBorder="1" applyAlignment="1" applyProtection="1" quotePrefix="1">
      <alignment horizontal="center" vertical="center" wrapText="1"/>
      <protection locked="0"/>
    </xf>
    <xf numFmtId="178" fontId="10" fillId="33" borderId="37" xfId="78" applyNumberFormat="1" applyFont="1" applyFill="1" applyBorder="1" applyAlignment="1" applyProtection="1">
      <alignment vertical="center"/>
      <protection locked="0"/>
    </xf>
    <xf numFmtId="0" fontId="16" fillId="33" borderId="37" xfId="78" applyNumberFormat="1" applyFont="1" applyFill="1" applyBorder="1" applyAlignment="1" applyProtection="1">
      <alignment horizontal="center" vertical="center" wrapText="1"/>
      <protection locked="0"/>
    </xf>
    <xf numFmtId="178" fontId="10" fillId="33" borderId="33" xfId="0" applyNumberFormat="1" applyFont="1" applyFill="1" applyBorder="1" applyAlignment="1" applyProtection="1">
      <alignment horizontal="center" vertical="center" wrapText="1"/>
      <protection locked="0"/>
    </xf>
    <xf numFmtId="178" fontId="10" fillId="33" borderId="33" xfId="0" applyNumberFormat="1" applyFont="1" applyFill="1" applyBorder="1" applyAlignment="1">
      <alignment vertical="center"/>
    </xf>
    <xf numFmtId="178" fontId="10" fillId="33" borderId="33" xfId="0" applyNumberFormat="1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/>
    </xf>
    <xf numFmtId="0" fontId="7" fillId="33" borderId="22" xfId="78" applyFont="1" applyFill="1" applyBorder="1" applyAlignment="1" applyProtection="1">
      <alignment horizontal="center" vertical="center" wrapText="1"/>
      <protection/>
    </xf>
    <xf numFmtId="0" fontId="7" fillId="33" borderId="38" xfId="78" applyFont="1" applyFill="1" applyBorder="1" applyAlignment="1" applyProtection="1">
      <alignment horizontal="center" vertical="top" wrapText="1"/>
      <protection/>
    </xf>
    <xf numFmtId="186" fontId="7" fillId="33" borderId="22" xfId="78" applyNumberFormat="1" applyFont="1" applyFill="1" applyBorder="1" applyAlignment="1" applyProtection="1">
      <alignment horizontal="center" vertical="center" wrapText="1"/>
      <protection/>
    </xf>
    <xf numFmtId="186" fontId="7" fillId="33" borderId="22" xfId="78" applyNumberFormat="1" applyFont="1" applyFill="1" applyBorder="1" applyAlignment="1" applyProtection="1">
      <alignment horizontal="center" vertical="center"/>
      <protection/>
    </xf>
    <xf numFmtId="186" fontId="7" fillId="33" borderId="38" xfId="78" applyNumberFormat="1" applyFont="1" applyFill="1" applyBorder="1" applyAlignment="1" applyProtection="1">
      <alignment horizontal="center" vertical="top"/>
      <protection/>
    </xf>
    <xf numFmtId="0" fontId="10" fillId="0" borderId="22" xfId="0" applyNumberFormat="1" applyFont="1" applyFill="1" applyBorder="1" applyAlignment="1">
      <alignment horizontal="center" vertical="center"/>
    </xf>
    <xf numFmtId="178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178" fontId="10" fillId="0" borderId="2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7" xfId="78" applyFont="1" applyFill="1" applyBorder="1">
      <alignment/>
      <protection/>
    </xf>
    <xf numFmtId="49" fontId="10" fillId="0" borderId="37" xfId="78" applyNumberFormat="1" applyFont="1" applyFill="1" applyBorder="1">
      <alignment/>
      <protection/>
    </xf>
    <xf numFmtId="0" fontId="10" fillId="0" borderId="37" xfId="78" applyFont="1" applyFill="1" applyBorder="1" applyAlignment="1">
      <alignment horizontal="center" vertical="center"/>
      <protection/>
    </xf>
    <xf numFmtId="0" fontId="10" fillId="0" borderId="37" xfId="78" applyFont="1" applyFill="1" applyBorder="1" applyAlignment="1">
      <alignment wrapText="1"/>
      <protection/>
    </xf>
    <xf numFmtId="178" fontId="21" fillId="0" borderId="37" xfId="0" applyNumberFormat="1" applyFont="1" applyFill="1" applyBorder="1" applyAlignment="1" applyProtection="1">
      <alignment horizontal="center" vertical="center" wrapText="1"/>
      <protection locked="0"/>
    </xf>
    <xf numFmtId="178" fontId="16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Fill="1" applyBorder="1" applyAlignment="1" quotePrefix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3" fillId="0" borderId="33" xfId="78" applyNumberFormat="1" applyFont="1" applyBorder="1" applyAlignment="1" applyProtection="1">
      <alignment horizontal="centerContinuous" vertical="center" wrapText="1"/>
      <protection/>
    </xf>
    <xf numFmtId="0" fontId="10" fillId="0" borderId="33" xfId="78" applyNumberFormat="1" applyFont="1" applyFill="1" applyBorder="1" applyAlignment="1" applyProtection="1">
      <alignment horizontal="centerContinuous" vertical="center" wrapText="1"/>
      <protection/>
    </xf>
    <xf numFmtId="178" fontId="10" fillId="0" borderId="33" xfId="78" applyNumberFormat="1" applyFont="1" applyBorder="1" applyAlignment="1" applyProtection="1">
      <alignment horizontal="center" vertical="center"/>
      <protection/>
    </xf>
    <xf numFmtId="0" fontId="10" fillId="0" borderId="33" xfId="78" applyNumberFormat="1" applyFont="1" applyBorder="1" applyAlignment="1" applyProtection="1">
      <alignment horizontal="center" vertical="center" wrapText="1"/>
      <protection/>
    </xf>
    <xf numFmtId="179" fontId="7" fillId="0" borderId="0" xfId="79" applyNumberFormat="1" applyFont="1" applyBorder="1" applyAlignment="1">
      <alignment horizontal="centerContinuous" vertical="center"/>
      <protection/>
    </xf>
    <xf numFmtId="179" fontId="7" fillId="0" borderId="0" xfId="79" applyNumberFormat="1" applyFont="1" applyBorder="1">
      <alignment/>
      <protection/>
    </xf>
    <xf numFmtId="179" fontId="12" fillId="0" borderId="25" xfId="79" applyNumberFormat="1" applyFont="1" applyBorder="1" applyAlignment="1">
      <alignment horizontal="centerContinuous" vertical="center"/>
      <protection/>
    </xf>
    <xf numFmtId="179" fontId="12" fillId="0" borderId="29" xfId="79" applyNumberFormat="1" applyFont="1" applyBorder="1" applyAlignment="1">
      <alignment horizontal="center" vertical="center" wrapText="1"/>
      <protection/>
    </xf>
    <xf numFmtId="179" fontId="12" fillId="0" borderId="36" xfId="79" applyNumberFormat="1" applyFont="1" applyBorder="1" applyAlignment="1">
      <alignment horizontal="right" vertical="center"/>
      <protection/>
    </xf>
    <xf numFmtId="179" fontId="12" fillId="0" borderId="12" xfId="79" applyNumberFormat="1" applyFont="1" applyBorder="1" applyAlignment="1">
      <alignment horizontal="right" vertical="center"/>
      <protection/>
    </xf>
    <xf numFmtId="179" fontId="12" fillId="0" borderId="15" xfId="79" applyNumberFormat="1" applyFont="1" applyBorder="1" applyAlignment="1">
      <alignment horizontal="right" vertical="center"/>
      <protection/>
    </xf>
    <xf numFmtId="179" fontId="12" fillId="0" borderId="21" xfId="79" applyNumberFormat="1" applyFont="1" applyBorder="1" applyAlignment="1">
      <alignment horizontal="right" vertical="center"/>
      <protection/>
    </xf>
    <xf numFmtId="179" fontId="12" fillId="0" borderId="0" xfId="79" applyNumberFormat="1" applyFont="1" applyBorder="1">
      <alignment/>
      <protection/>
    </xf>
    <xf numFmtId="0" fontId="12" fillId="0" borderId="37" xfId="79" applyFont="1" applyBorder="1" applyAlignment="1">
      <alignment horizontal="distributed" vertical="center" wrapText="1"/>
      <protection/>
    </xf>
    <xf numFmtId="0" fontId="12" fillId="0" borderId="37" xfId="79" applyFont="1" applyBorder="1" applyAlignment="1">
      <alignment horizontal="center" vertical="center"/>
      <protection/>
    </xf>
    <xf numFmtId="0" fontId="12" fillId="0" borderId="37" xfId="79" applyFont="1" applyBorder="1" applyAlignment="1">
      <alignment horizontal="distributed" vertical="distributed" wrapText="1"/>
      <protection/>
    </xf>
    <xf numFmtId="178" fontId="12" fillId="0" borderId="39" xfId="79" applyNumberFormat="1" applyFont="1" applyBorder="1" applyAlignment="1">
      <alignment horizontal="right" vertical="center"/>
      <protection/>
    </xf>
    <xf numFmtId="178" fontId="12" fillId="0" borderId="40" xfId="79" applyNumberFormat="1" applyFont="1" applyBorder="1" applyAlignment="1">
      <alignment horizontal="right" vertical="center"/>
      <protection/>
    </xf>
    <xf numFmtId="0" fontId="12" fillId="0" borderId="0" xfId="0" applyFont="1" applyBorder="1" applyAlignment="1">
      <alignment horizontal="centerContinuous" vertical="center"/>
    </xf>
    <xf numFmtId="179" fontId="12" fillId="0" borderId="41" xfId="79" applyNumberFormat="1" applyFont="1" applyBorder="1" applyAlignment="1">
      <alignment horizontal="center" vertical="center"/>
      <protection/>
    </xf>
    <xf numFmtId="0" fontId="12" fillId="0" borderId="23" xfId="79" applyFont="1" applyBorder="1" applyAlignment="1">
      <alignment horizontal="centerContinuous" vertical="center" wrapText="1"/>
      <protection/>
    </xf>
    <xf numFmtId="0" fontId="12" fillId="0" borderId="38" xfId="79" applyFont="1" applyBorder="1" applyAlignment="1">
      <alignment horizontal="distributed" wrapText="1"/>
      <protection/>
    </xf>
    <xf numFmtId="0" fontId="12" fillId="0" borderId="38" xfId="79" applyFont="1" applyBorder="1">
      <alignment/>
      <protection/>
    </xf>
    <xf numFmtId="0" fontId="12" fillId="0" borderId="37" xfId="79" applyFont="1" applyBorder="1">
      <alignment/>
      <protection/>
    </xf>
    <xf numFmtId="0" fontId="12" fillId="0" borderId="39" xfId="79" applyFont="1" applyBorder="1" applyAlignment="1">
      <alignment horizontal="center" vertical="center" wrapText="1"/>
      <protection/>
    </xf>
    <xf numFmtId="0" fontId="12" fillId="0" borderId="40" xfId="79" applyFont="1" applyBorder="1" applyAlignment="1">
      <alignment horizontal="distributed" vertical="center" wrapText="1"/>
      <protection/>
    </xf>
    <xf numFmtId="0" fontId="12" fillId="0" borderId="40" xfId="79" applyFont="1" applyBorder="1" applyAlignment="1">
      <alignment horizontal="center" vertical="center" wrapText="1"/>
      <protection/>
    </xf>
    <xf numFmtId="0" fontId="12" fillId="0" borderId="41" xfId="79" applyFont="1" applyBorder="1" applyAlignment="1">
      <alignment horizontal="distributed" vertical="center" wrapText="1"/>
      <protection/>
    </xf>
    <xf numFmtId="178" fontId="22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7" xfId="0" applyFont="1" applyFill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178" fontId="23" fillId="0" borderId="3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horizontal="center" vertical="center" wrapText="1"/>
    </xf>
    <xf numFmtId="3" fontId="10" fillId="33" borderId="37" xfId="78" applyNumberFormat="1" applyFont="1" applyFill="1" applyBorder="1" applyAlignment="1" applyProtection="1">
      <alignment horizontal="center" vertical="center" wrapText="1"/>
      <protection locked="0"/>
    </xf>
    <xf numFmtId="3" fontId="10" fillId="0" borderId="37" xfId="0" applyNumberFormat="1" applyFont="1" applyFill="1" applyBorder="1" applyAlignment="1">
      <alignment horizontal="center" vertical="center" wrapText="1"/>
    </xf>
    <xf numFmtId="0" fontId="10" fillId="0" borderId="37" xfId="78" applyFont="1" applyFill="1" applyBorder="1" applyAlignment="1">
      <alignment horizontal="center" vertical="center" wrapText="1"/>
      <protection/>
    </xf>
    <xf numFmtId="3" fontId="10" fillId="0" borderId="37" xfId="78" applyNumberFormat="1" applyFont="1" applyFill="1" applyBorder="1" applyAlignment="1">
      <alignment horizontal="center" vertical="center" wrapText="1"/>
      <protection/>
    </xf>
    <xf numFmtId="0" fontId="16" fillId="0" borderId="37" xfId="78" applyFont="1" applyFill="1" applyBorder="1" applyAlignment="1">
      <alignment horizontal="center" vertical="center" wrapText="1"/>
      <protection/>
    </xf>
    <xf numFmtId="178" fontId="10" fillId="0" borderId="37" xfId="78" applyNumberFormat="1" applyFont="1" applyFill="1" applyBorder="1" applyAlignment="1" applyProtection="1">
      <alignment horizontal="center" vertical="center" wrapText="1"/>
      <protection/>
    </xf>
    <xf numFmtId="0" fontId="13" fillId="0" borderId="37" xfId="78" applyNumberFormat="1" applyFont="1" applyBorder="1" applyAlignment="1" applyProtection="1">
      <alignment horizontal="centerContinuous" vertical="center" wrapText="1"/>
      <protection/>
    </xf>
    <xf numFmtId="0" fontId="10" fillId="0" borderId="37" xfId="78" applyNumberFormat="1" applyFont="1" applyFill="1" applyBorder="1" applyAlignment="1" applyProtection="1">
      <alignment horizontal="centerContinuous" vertical="center" wrapText="1"/>
      <protection/>
    </xf>
    <xf numFmtId="178" fontId="10" fillId="0" borderId="37" xfId="78" applyNumberFormat="1" applyFont="1" applyBorder="1" applyAlignment="1" applyProtection="1">
      <alignment horizontal="center" vertical="center"/>
      <protection/>
    </xf>
    <xf numFmtId="0" fontId="10" fillId="0" borderId="37" xfId="78" applyNumberFormat="1" applyFont="1" applyBorder="1" applyAlignment="1" applyProtection="1">
      <alignment horizontal="center" vertical="center" wrapText="1"/>
      <protection/>
    </xf>
    <xf numFmtId="179" fontId="10" fillId="33" borderId="37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37" xfId="0" applyFont="1" applyFill="1" applyBorder="1" applyAlignment="1">
      <alignment horizontal="center" vertical="center" wrapText="1"/>
    </xf>
    <xf numFmtId="3" fontId="16" fillId="0" borderId="37" xfId="0" applyNumberFormat="1" applyFont="1" applyFill="1" applyBorder="1" applyAlignment="1">
      <alignment horizontal="center" vertical="center" wrapText="1"/>
    </xf>
    <xf numFmtId="3" fontId="21" fillId="0" borderId="37" xfId="0" applyNumberFormat="1" applyFont="1" applyFill="1" applyBorder="1" applyAlignment="1">
      <alignment horizontal="center" vertical="center" wrapText="1"/>
    </xf>
    <xf numFmtId="178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79" applyFont="1" applyBorder="1" applyAlignment="1" applyProtection="1">
      <alignment horizontal="right" vertical="center"/>
      <protection/>
    </xf>
    <xf numFmtId="0" fontId="10" fillId="33" borderId="34" xfId="0" applyNumberFormat="1" applyFont="1" applyFill="1" applyBorder="1" applyAlignment="1">
      <alignment horizontal="center" vertical="center"/>
    </xf>
    <xf numFmtId="0" fontId="10" fillId="33" borderId="35" xfId="0" applyNumberFormat="1" applyFont="1" applyFill="1" applyBorder="1" applyAlignment="1">
      <alignment horizontal="center" vertical="center"/>
    </xf>
    <xf numFmtId="0" fontId="10" fillId="33" borderId="36" xfId="0" applyNumberFormat="1" applyFont="1" applyFill="1" applyBorder="1" applyAlignment="1">
      <alignment horizontal="center" vertical="center"/>
    </xf>
    <xf numFmtId="0" fontId="20" fillId="33" borderId="0" xfId="78" applyFont="1" applyFill="1" applyBorder="1" applyAlignment="1" applyProtection="1">
      <alignment horizontal="left" wrapText="1"/>
      <protection/>
    </xf>
    <xf numFmtId="49" fontId="7" fillId="33" borderId="37" xfId="78" applyNumberFormat="1" applyFont="1" applyFill="1" applyBorder="1" applyAlignment="1" applyProtection="1">
      <alignment horizontal="center" vertical="center" wrapText="1"/>
      <protection/>
    </xf>
    <xf numFmtId="0" fontId="7" fillId="33" borderId="37" xfId="78" applyFont="1" applyFill="1" applyBorder="1" applyAlignment="1" applyProtection="1">
      <alignment horizontal="center" vertical="center" wrapText="1"/>
      <protection/>
    </xf>
    <xf numFmtId="0" fontId="7" fillId="33" borderId="37" xfId="78" applyFont="1" applyFill="1" applyBorder="1" applyAlignment="1" applyProtection="1">
      <alignment horizontal="center" vertical="center"/>
      <protection/>
    </xf>
    <xf numFmtId="0" fontId="10" fillId="33" borderId="37" xfId="0" applyNumberFormat="1" applyFont="1" applyFill="1" applyBorder="1" applyAlignment="1">
      <alignment horizontal="center" vertical="center"/>
    </xf>
    <xf numFmtId="0" fontId="11" fillId="0" borderId="0" xfId="78" applyFont="1" applyFill="1" applyAlignment="1" applyProtection="1">
      <alignment horizontal="center"/>
      <protection/>
    </xf>
    <xf numFmtId="0" fontId="20" fillId="0" borderId="0" xfId="78" applyFont="1" applyFill="1" applyBorder="1" applyAlignment="1" applyProtection="1">
      <alignment horizontal="left" wrapText="1"/>
      <protection/>
    </xf>
  </cellXfs>
  <cellStyles count="6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" xfId="33"/>
    <cellStyle name="Comma [0]_ SG&amp;A Bridge " xfId="34"/>
    <cellStyle name="Comma_ SG&amp;A Bridge " xfId="35"/>
    <cellStyle name="Currency" xfId="36"/>
    <cellStyle name="Currency [0]_ SG&amp;A Bridge " xfId="37"/>
    <cellStyle name="Currency_ SG&amp;A Bridge " xfId="38"/>
    <cellStyle name="Date" xfId="39"/>
    <cellStyle name="Fixed" xfId="40"/>
    <cellStyle name="Heading1" xfId="41"/>
    <cellStyle name="Heading2" xfId="42"/>
    <cellStyle name="Normal_ SG&amp;A Bridge " xfId="43"/>
    <cellStyle name="Percent" xfId="44"/>
    <cellStyle name="Total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나쁨" xfId="54"/>
    <cellStyle name="메모" xfId="55"/>
    <cellStyle name="Percent" xfId="56"/>
    <cellStyle name="보통" xfId="57"/>
    <cellStyle name="뷭?_BOOKSHIP" xfId="58"/>
    <cellStyle name="설명 텍스트" xfId="59"/>
    <cellStyle name="셀 확인" xfId="60"/>
    <cellStyle name="Comma" xfId="61"/>
    <cellStyle name="Comma [0]" xfId="62"/>
    <cellStyle name="연결된 셀" xfId="63"/>
    <cellStyle name="Followed Hyperlink" xfId="64"/>
    <cellStyle name="요약" xfId="65"/>
    <cellStyle name="입력" xfId="66"/>
    <cellStyle name="제목" xfId="67"/>
    <cellStyle name="제목 1" xfId="68"/>
    <cellStyle name="제목 2" xfId="69"/>
    <cellStyle name="제목 3" xfId="70"/>
    <cellStyle name="제목 4" xfId="71"/>
    <cellStyle name="좋음" xfId="72"/>
    <cellStyle name="출력" xfId="73"/>
    <cellStyle name="콤마 [0]_1202" xfId="74"/>
    <cellStyle name="콤마_1202" xfId="75"/>
    <cellStyle name="Currency" xfId="76"/>
    <cellStyle name="Currency [0]" xfId="77"/>
    <cellStyle name="표준_용지조서(1)" xfId="78"/>
    <cellStyle name="표준_집계표" xfId="79"/>
    <cellStyle name="Hyperlink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"/>
  <sheetViews>
    <sheetView showGridLines="0" showZeros="0" tabSelected="1" view="pageBreakPreview" zoomScale="85" zoomScaleSheetLayoutView="85" zoomScalePageLayoutView="0" workbookViewId="0" topLeftCell="A1">
      <selection activeCell="A1" sqref="A1"/>
    </sheetView>
  </sheetViews>
  <sheetFormatPr defaultColWidth="8.88671875" defaultRowHeight="13.5"/>
  <cols>
    <col min="1" max="1" width="10.3359375" style="3" customWidth="1"/>
    <col min="2" max="2" width="6.3359375" style="4" customWidth="1"/>
    <col min="3" max="3" width="1.33203125" style="4" customWidth="1"/>
    <col min="4" max="4" width="9.88671875" style="4" customWidth="1"/>
    <col min="5" max="5" width="6.3359375" style="4" customWidth="1"/>
    <col min="6" max="6" width="1.33203125" style="4" customWidth="1"/>
    <col min="7" max="7" width="8.3359375" style="4" customWidth="1"/>
    <col min="8" max="8" width="6.3359375" style="4" customWidth="1"/>
    <col min="9" max="9" width="1.33203125" style="4" customWidth="1"/>
    <col min="10" max="10" width="8.3359375" style="4" customWidth="1"/>
    <col min="11" max="11" width="6.3359375" style="4" customWidth="1"/>
    <col min="12" max="12" width="1.33203125" style="4" customWidth="1"/>
    <col min="13" max="13" width="10.10546875" style="4" customWidth="1"/>
    <col min="14" max="14" width="5.99609375" style="4" customWidth="1"/>
    <col min="15" max="20" width="12.21484375" style="4" hidden="1" customWidth="1"/>
    <col min="21" max="16384" width="8.88671875" style="4" customWidth="1"/>
  </cols>
  <sheetData>
    <row r="1" spans="1:14" s="7" customFormat="1" ht="60" customHeight="1">
      <c r="A1" s="36" t="s">
        <v>0</v>
      </c>
      <c r="B1" s="5"/>
      <c r="C1" s="5"/>
      <c r="D1" s="6"/>
      <c r="E1" s="6"/>
      <c r="F1" s="5"/>
      <c r="G1" s="5"/>
      <c r="H1" s="6"/>
      <c r="I1" s="5"/>
      <c r="J1" s="5"/>
      <c r="K1" s="5"/>
      <c r="L1" s="5"/>
      <c r="M1" s="5"/>
      <c r="N1" s="5"/>
    </row>
    <row r="2" spans="1:14" s="10" customFormat="1" ht="19.5" customHeight="1">
      <c r="A2" s="3">
        <f>IF(EXACT(O6,O7),,"검산확인요!!!")</f>
        <v>0</v>
      </c>
      <c r="B2" s="4"/>
      <c r="C2" s="4"/>
      <c r="D2" s="4"/>
      <c r="E2" s="4"/>
      <c r="F2" s="4"/>
      <c r="G2" s="4"/>
      <c r="H2" s="4"/>
      <c r="I2" s="4"/>
      <c r="J2" s="4"/>
      <c r="K2" s="8"/>
      <c r="L2" s="178"/>
      <c r="M2" s="9"/>
      <c r="N2" s="5"/>
    </row>
    <row r="3" spans="1:14" s="10" customFormat="1" ht="9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0" s="12" customFormat="1" ht="27.75" customHeight="1">
      <c r="A4" s="31" t="s">
        <v>2</v>
      </c>
      <c r="B4" s="32" t="s">
        <v>3</v>
      </c>
      <c r="C4" s="33"/>
      <c r="D4" s="34"/>
      <c r="E4" s="180" t="s">
        <v>75</v>
      </c>
      <c r="F4" s="33"/>
      <c r="G4" s="34"/>
      <c r="H4" s="180" t="s">
        <v>76</v>
      </c>
      <c r="I4" s="33"/>
      <c r="J4" s="34"/>
      <c r="K4" s="32" t="s">
        <v>77</v>
      </c>
      <c r="L4" s="33"/>
      <c r="M4" s="34"/>
      <c r="N4" s="31" t="s">
        <v>21</v>
      </c>
      <c r="O4" s="11"/>
      <c r="S4" s="11"/>
      <c r="T4" s="11"/>
    </row>
    <row r="5" spans="1:20" s="12" customFormat="1" ht="27.75" customHeight="1">
      <c r="A5" s="181"/>
      <c r="B5" s="184" t="s">
        <v>58</v>
      </c>
      <c r="C5" s="187" t="s">
        <v>5</v>
      </c>
      <c r="D5" s="185" t="s">
        <v>46</v>
      </c>
      <c r="E5" s="184" t="s">
        <v>58</v>
      </c>
      <c r="F5" s="187" t="s">
        <v>5</v>
      </c>
      <c r="G5" s="186" t="s">
        <v>56</v>
      </c>
      <c r="H5" s="184" t="s">
        <v>58</v>
      </c>
      <c r="I5" s="187" t="s">
        <v>5</v>
      </c>
      <c r="J5" s="186" t="s">
        <v>56</v>
      </c>
      <c r="K5" s="184" t="s">
        <v>57</v>
      </c>
      <c r="L5" s="187" t="s">
        <v>5</v>
      </c>
      <c r="M5" s="185" t="s">
        <v>46</v>
      </c>
      <c r="N5" s="183"/>
      <c r="P5" s="11"/>
      <c r="Q5" s="13" t="s">
        <v>47</v>
      </c>
      <c r="R5" s="13" t="s">
        <v>48</v>
      </c>
      <c r="S5" s="13" t="s">
        <v>49</v>
      </c>
      <c r="T5" s="13" t="s">
        <v>50</v>
      </c>
    </row>
    <row r="6" spans="1:20" s="12" customFormat="1" ht="22.5" customHeight="1">
      <c r="A6" s="173" t="s">
        <v>3</v>
      </c>
      <c r="B6" s="176">
        <f>SUM(B7:B31)</f>
        <v>275</v>
      </c>
      <c r="C6" s="179" t="s">
        <v>5</v>
      </c>
      <c r="D6" s="177">
        <f>SUM(D7:D31)</f>
        <v>141609</v>
      </c>
      <c r="E6" s="176">
        <f>SUM(E7:E31)</f>
        <v>17</v>
      </c>
      <c r="F6" s="179" t="s">
        <v>5</v>
      </c>
      <c r="G6" s="177">
        <f>SUM(G7:G31)</f>
        <v>11639</v>
      </c>
      <c r="H6" s="176">
        <f>SUM(H7:H31)</f>
        <v>206</v>
      </c>
      <c r="I6" s="179" t="s">
        <v>5</v>
      </c>
      <c r="J6" s="177">
        <f>SUM(J7:J31)</f>
        <v>113486</v>
      </c>
      <c r="K6" s="176">
        <f>SUM(K7:K31)</f>
        <v>52</v>
      </c>
      <c r="L6" s="179" t="s">
        <v>5</v>
      </c>
      <c r="M6" s="177">
        <f>SUM(M7:M31)</f>
        <v>16484</v>
      </c>
      <c r="N6" s="174"/>
      <c r="O6" s="11" t="str">
        <f>IF(EXACT(Q6,T6),"맞음","틀림")</f>
        <v>틀림</v>
      </c>
      <c r="P6" s="11" t="s">
        <v>4</v>
      </c>
      <c r="Q6" s="14">
        <f>SUM(B7:B31)</f>
        <v>275</v>
      </c>
      <c r="R6" s="14">
        <f>SUM(E7:E31)</f>
        <v>17</v>
      </c>
      <c r="S6" s="14">
        <f>SUM(K7:K31)</f>
        <v>52</v>
      </c>
      <c r="T6" s="14">
        <f>K6+E6</f>
        <v>69</v>
      </c>
    </row>
    <row r="7" spans="1:20" s="12" customFormat="1" ht="22.5" customHeight="1">
      <c r="A7" s="173" t="s">
        <v>6</v>
      </c>
      <c r="B7" s="176">
        <f>E7+H7+K7</f>
        <v>70</v>
      </c>
      <c r="C7" s="179" t="s">
        <v>5</v>
      </c>
      <c r="D7" s="177">
        <f>G7+J7+M7</f>
        <v>29733</v>
      </c>
      <c r="E7" s="176">
        <f>리집계표!B7</f>
        <v>3</v>
      </c>
      <c r="F7" s="179" t="s">
        <v>5</v>
      </c>
      <c r="G7" s="177">
        <f>리집계표!D7</f>
        <v>497</v>
      </c>
      <c r="H7" s="176">
        <f>리집계표!B37</f>
        <v>56</v>
      </c>
      <c r="I7" s="179" t="s">
        <v>5</v>
      </c>
      <c r="J7" s="177">
        <f>리집계표!D37</f>
        <v>25500</v>
      </c>
      <c r="K7" s="176">
        <f>리집계표!B67</f>
        <v>11</v>
      </c>
      <c r="L7" s="179" t="s">
        <v>5</v>
      </c>
      <c r="M7" s="177">
        <f>리집계표!D67</f>
        <v>3736</v>
      </c>
      <c r="N7" s="174"/>
      <c r="O7" s="11" t="str">
        <f>IF(EXACT(Q7,T7),"맞음","틀림")</f>
        <v>틀림</v>
      </c>
      <c r="P7" s="11" t="s">
        <v>51</v>
      </c>
      <c r="Q7" s="14">
        <f>SUM(D7:D31)</f>
        <v>141609</v>
      </c>
      <c r="R7" s="14">
        <f>SUM(G7:G31)</f>
        <v>11639</v>
      </c>
      <c r="S7" s="14">
        <f>SUM(M7:M31)</f>
        <v>16484</v>
      </c>
      <c r="T7" s="14">
        <f>G6+M6</f>
        <v>28123</v>
      </c>
    </row>
    <row r="8" spans="1:19" s="12" customFormat="1" ht="22.5" customHeight="1">
      <c r="A8" s="173" t="s">
        <v>7</v>
      </c>
      <c r="B8" s="176">
        <f aca="true" t="shared" si="0" ref="B8:B31">E8+H8+K8</f>
        <v>54</v>
      </c>
      <c r="C8" s="179" t="s">
        <v>5</v>
      </c>
      <c r="D8" s="177">
        <f aca="true" t="shared" si="1" ref="D8:D31">G8+J8+M8</f>
        <v>15332</v>
      </c>
      <c r="E8" s="176">
        <f>리집계표!B8</f>
        <v>2</v>
      </c>
      <c r="F8" s="179" t="s">
        <v>5</v>
      </c>
      <c r="G8" s="177">
        <f>리집계표!D8</f>
        <v>64</v>
      </c>
      <c r="H8" s="176">
        <f>리집계표!B38</f>
        <v>43</v>
      </c>
      <c r="I8" s="179" t="s">
        <v>5</v>
      </c>
      <c r="J8" s="177">
        <f>리집계표!D38</f>
        <v>13177</v>
      </c>
      <c r="K8" s="176">
        <f>리집계표!B68</f>
        <v>9</v>
      </c>
      <c r="L8" s="179" t="s">
        <v>5</v>
      </c>
      <c r="M8" s="177">
        <f>리집계표!D68</f>
        <v>2091</v>
      </c>
      <c r="N8" s="174"/>
      <c r="Q8" s="11"/>
      <c r="S8" s="11"/>
    </row>
    <row r="9" spans="1:19" s="12" customFormat="1" ht="22.5" customHeight="1">
      <c r="A9" s="175" t="s">
        <v>8</v>
      </c>
      <c r="B9" s="176">
        <f t="shared" si="0"/>
        <v>86</v>
      </c>
      <c r="C9" s="179" t="s">
        <v>5</v>
      </c>
      <c r="D9" s="177">
        <f t="shared" si="1"/>
        <v>70721</v>
      </c>
      <c r="E9" s="176">
        <f>리집계표!B9</f>
        <v>9</v>
      </c>
      <c r="F9" s="179" t="s">
        <v>5</v>
      </c>
      <c r="G9" s="177">
        <f>리집계표!D9</f>
        <v>11032</v>
      </c>
      <c r="H9" s="176">
        <f>리집계표!B39</f>
        <v>75</v>
      </c>
      <c r="I9" s="179" t="s">
        <v>5</v>
      </c>
      <c r="J9" s="177">
        <f>리집계표!D39</f>
        <v>58886</v>
      </c>
      <c r="K9" s="176">
        <f>리집계표!B69</f>
        <v>2</v>
      </c>
      <c r="L9" s="179" t="s">
        <v>5</v>
      </c>
      <c r="M9" s="177">
        <f>리집계표!D69</f>
        <v>803</v>
      </c>
      <c r="N9" s="174"/>
      <c r="Q9" s="11"/>
      <c r="S9" s="11"/>
    </row>
    <row r="10" spans="1:20" s="12" customFormat="1" ht="22.5" customHeight="1">
      <c r="A10" s="173" t="s">
        <v>9</v>
      </c>
      <c r="B10" s="176">
        <f t="shared" si="0"/>
        <v>9</v>
      </c>
      <c r="C10" s="179" t="s">
        <v>5</v>
      </c>
      <c r="D10" s="177">
        <f t="shared" si="1"/>
        <v>1502</v>
      </c>
      <c r="E10" s="176">
        <f>리집계표!B10</f>
        <v>0</v>
      </c>
      <c r="F10" s="179" t="s">
        <v>5</v>
      </c>
      <c r="G10" s="177">
        <f>리집계표!D10</f>
        <v>0</v>
      </c>
      <c r="H10" s="176">
        <f>리집계표!B40</f>
        <v>8</v>
      </c>
      <c r="I10" s="179" t="s">
        <v>5</v>
      </c>
      <c r="J10" s="177">
        <f>리집계표!D40</f>
        <v>1435</v>
      </c>
      <c r="K10" s="176">
        <f>리집계표!B70</f>
        <v>1</v>
      </c>
      <c r="L10" s="179" t="s">
        <v>5</v>
      </c>
      <c r="M10" s="177">
        <f>리집계표!D70</f>
        <v>67</v>
      </c>
      <c r="N10" s="174"/>
      <c r="O10" s="11"/>
      <c r="P10" s="11"/>
      <c r="Q10" s="11"/>
      <c r="R10" s="11"/>
      <c r="S10" s="11"/>
      <c r="T10" s="11"/>
    </row>
    <row r="11" spans="1:20" s="12" customFormat="1" ht="22.5" customHeight="1">
      <c r="A11" s="173" t="s">
        <v>10</v>
      </c>
      <c r="B11" s="176">
        <f t="shared" si="0"/>
        <v>38</v>
      </c>
      <c r="C11" s="179" t="s">
        <v>5</v>
      </c>
      <c r="D11" s="177">
        <f t="shared" si="1"/>
        <v>12345</v>
      </c>
      <c r="E11" s="176">
        <f>리집계표!B11</f>
        <v>3</v>
      </c>
      <c r="F11" s="179" t="s">
        <v>5</v>
      </c>
      <c r="G11" s="177">
        <f>리집계표!D11</f>
        <v>46</v>
      </c>
      <c r="H11" s="176">
        <f>리집계표!B41</f>
        <v>11</v>
      </c>
      <c r="I11" s="179" t="s">
        <v>5</v>
      </c>
      <c r="J11" s="177">
        <f>리집계표!D41</f>
        <v>7123</v>
      </c>
      <c r="K11" s="176">
        <f>리집계표!B71</f>
        <v>24</v>
      </c>
      <c r="L11" s="179" t="s">
        <v>5</v>
      </c>
      <c r="M11" s="177">
        <f>리집계표!D71</f>
        <v>5176</v>
      </c>
      <c r="N11" s="174"/>
      <c r="O11" s="11"/>
      <c r="P11" s="11"/>
      <c r="Q11" s="11"/>
      <c r="R11" s="11"/>
      <c r="S11" s="11"/>
      <c r="T11" s="11"/>
    </row>
    <row r="12" spans="1:20" s="12" customFormat="1" ht="22.5" customHeight="1">
      <c r="A12" s="173" t="s">
        <v>12</v>
      </c>
      <c r="B12" s="176">
        <f t="shared" si="0"/>
        <v>1</v>
      </c>
      <c r="C12" s="179" t="s">
        <v>5</v>
      </c>
      <c r="D12" s="177">
        <f t="shared" si="1"/>
        <v>558</v>
      </c>
      <c r="E12" s="176">
        <f>리집계표!B12</f>
        <v>0</v>
      </c>
      <c r="F12" s="179" t="s">
        <v>5</v>
      </c>
      <c r="G12" s="177">
        <f>리집계표!D12</f>
        <v>0</v>
      </c>
      <c r="H12" s="176">
        <f>리집계표!B42</f>
        <v>0</v>
      </c>
      <c r="I12" s="179" t="s">
        <v>5</v>
      </c>
      <c r="J12" s="177">
        <f>리집계표!D42</f>
        <v>0</v>
      </c>
      <c r="K12" s="176">
        <f>리집계표!B72</f>
        <v>1</v>
      </c>
      <c r="L12" s="179" t="s">
        <v>5</v>
      </c>
      <c r="M12" s="177">
        <f>리집계표!D72</f>
        <v>558</v>
      </c>
      <c r="N12" s="174"/>
      <c r="O12" s="11"/>
      <c r="P12" s="11"/>
      <c r="Q12" s="11"/>
      <c r="R12" s="11"/>
      <c r="S12" s="11"/>
      <c r="T12" s="11"/>
    </row>
    <row r="13" spans="1:20" s="12" customFormat="1" ht="22.5" customHeight="1">
      <c r="A13" s="173" t="s">
        <v>11</v>
      </c>
      <c r="B13" s="176">
        <f t="shared" si="0"/>
        <v>2</v>
      </c>
      <c r="C13" s="179" t="s">
        <v>5</v>
      </c>
      <c r="D13" s="177">
        <f t="shared" si="1"/>
        <v>638</v>
      </c>
      <c r="E13" s="176">
        <f>리집계표!B13</f>
        <v>0</v>
      </c>
      <c r="F13" s="179" t="s">
        <v>5</v>
      </c>
      <c r="G13" s="177">
        <f>리집계표!D13</f>
        <v>0</v>
      </c>
      <c r="H13" s="176">
        <f>리집계표!B43</f>
        <v>2</v>
      </c>
      <c r="I13" s="179" t="s">
        <v>5</v>
      </c>
      <c r="J13" s="177">
        <f>리집계표!D43</f>
        <v>638</v>
      </c>
      <c r="K13" s="176">
        <f>리집계표!B73</f>
        <v>0</v>
      </c>
      <c r="L13" s="179" t="s">
        <v>5</v>
      </c>
      <c r="M13" s="177">
        <f>리집계표!D73</f>
        <v>0</v>
      </c>
      <c r="N13" s="174"/>
      <c r="O13" s="11"/>
      <c r="P13" s="11"/>
      <c r="Q13" s="11"/>
      <c r="R13" s="11"/>
      <c r="S13" s="11"/>
      <c r="T13" s="11"/>
    </row>
    <row r="14" spans="1:20" s="12" customFormat="1" ht="22.5" customHeight="1">
      <c r="A14" s="173" t="s">
        <v>14</v>
      </c>
      <c r="B14" s="176">
        <f t="shared" si="0"/>
        <v>0</v>
      </c>
      <c r="C14" s="179" t="s">
        <v>5</v>
      </c>
      <c r="D14" s="177">
        <f t="shared" si="1"/>
        <v>0</v>
      </c>
      <c r="E14" s="176">
        <f>리집계표!B14</f>
        <v>0</v>
      </c>
      <c r="F14" s="179" t="s">
        <v>5</v>
      </c>
      <c r="G14" s="177">
        <f>리집계표!D14</f>
        <v>0</v>
      </c>
      <c r="H14" s="176">
        <f>리집계표!B44</f>
        <v>0</v>
      </c>
      <c r="I14" s="179" t="s">
        <v>5</v>
      </c>
      <c r="J14" s="177">
        <f>리집계표!D44</f>
        <v>0</v>
      </c>
      <c r="K14" s="176">
        <f>리집계표!B74</f>
        <v>0</v>
      </c>
      <c r="L14" s="179" t="s">
        <v>5</v>
      </c>
      <c r="M14" s="177">
        <f>리집계표!D74</f>
        <v>0</v>
      </c>
      <c r="N14" s="174"/>
      <c r="O14" s="11"/>
      <c r="P14" s="11"/>
      <c r="Q14" s="11"/>
      <c r="R14" s="11"/>
      <c r="S14" s="11"/>
      <c r="T14" s="11"/>
    </row>
    <row r="15" spans="1:20" s="12" customFormat="1" ht="22.5" customHeight="1">
      <c r="A15" s="173" t="s">
        <v>13</v>
      </c>
      <c r="B15" s="176">
        <f t="shared" si="0"/>
        <v>0</v>
      </c>
      <c r="C15" s="179" t="s">
        <v>5</v>
      </c>
      <c r="D15" s="177">
        <f t="shared" si="1"/>
        <v>0</v>
      </c>
      <c r="E15" s="176">
        <f>리집계표!B15</f>
        <v>0</v>
      </c>
      <c r="F15" s="179" t="s">
        <v>5</v>
      </c>
      <c r="G15" s="177">
        <f>리집계표!D15</f>
        <v>0</v>
      </c>
      <c r="H15" s="176">
        <f>리집계표!B45</f>
        <v>0</v>
      </c>
      <c r="I15" s="179" t="s">
        <v>5</v>
      </c>
      <c r="J15" s="177">
        <f>리집계표!D45</f>
        <v>0</v>
      </c>
      <c r="K15" s="176">
        <f>리집계표!B75</f>
        <v>0</v>
      </c>
      <c r="L15" s="179" t="s">
        <v>5</v>
      </c>
      <c r="M15" s="177">
        <f>리집계표!D75</f>
        <v>0</v>
      </c>
      <c r="N15" s="174"/>
      <c r="O15" s="11"/>
      <c r="P15" s="11"/>
      <c r="Q15" s="11"/>
      <c r="R15" s="11"/>
      <c r="S15" s="11"/>
      <c r="T15" s="11"/>
    </row>
    <row r="16" spans="1:20" s="12" customFormat="1" ht="22.5" customHeight="1">
      <c r="A16" s="173" t="s">
        <v>15</v>
      </c>
      <c r="B16" s="176">
        <f t="shared" si="0"/>
        <v>0</v>
      </c>
      <c r="C16" s="179" t="s">
        <v>5</v>
      </c>
      <c r="D16" s="177">
        <f t="shared" si="1"/>
        <v>0</v>
      </c>
      <c r="E16" s="176">
        <f>리집계표!B16</f>
        <v>0</v>
      </c>
      <c r="F16" s="179" t="s">
        <v>5</v>
      </c>
      <c r="G16" s="177">
        <f>리집계표!D16</f>
        <v>0</v>
      </c>
      <c r="H16" s="176">
        <f>리집계표!B46</f>
        <v>0</v>
      </c>
      <c r="I16" s="179" t="s">
        <v>5</v>
      </c>
      <c r="J16" s="177">
        <f>리집계표!D46</f>
        <v>0</v>
      </c>
      <c r="K16" s="176">
        <f>리집계표!B76</f>
        <v>0</v>
      </c>
      <c r="L16" s="179" t="s">
        <v>5</v>
      </c>
      <c r="M16" s="177">
        <f>리집계표!D76</f>
        <v>0</v>
      </c>
      <c r="N16" s="174"/>
      <c r="O16" s="11"/>
      <c r="P16" s="11"/>
      <c r="Q16" s="11"/>
      <c r="R16" s="11"/>
      <c r="S16" s="11"/>
      <c r="T16" s="11"/>
    </row>
    <row r="17" spans="1:20" s="12" customFormat="1" ht="22.5" customHeight="1">
      <c r="A17" s="173" t="s">
        <v>20</v>
      </c>
      <c r="B17" s="176">
        <f t="shared" si="0"/>
        <v>1</v>
      </c>
      <c r="C17" s="179" t="s">
        <v>5</v>
      </c>
      <c r="D17" s="177">
        <f t="shared" si="1"/>
        <v>20</v>
      </c>
      <c r="E17" s="176">
        <f>리집계표!B17</f>
        <v>0</v>
      </c>
      <c r="F17" s="179" t="s">
        <v>5</v>
      </c>
      <c r="G17" s="177">
        <f>리집계표!D17</f>
        <v>0</v>
      </c>
      <c r="H17" s="176">
        <f>리집계표!B47</f>
        <v>1</v>
      </c>
      <c r="I17" s="179" t="s">
        <v>5</v>
      </c>
      <c r="J17" s="177">
        <f>리집계표!D47</f>
        <v>20</v>
      </c>
      <c r="K17" s="176">
        <f>리집계표!B77</f>
        <v>0</v>
      </c>
      <c r="L17" s="179" t="s">
        <v>5</v>
      </c>
      <c r="M17" s="177">
        <f>리집계표!D77</f>
        <v>0</v>
      </c>
      <c r="N17" s="174"/>
      <c r="O17" s="11"/>
      <c r="P17" s="11"/>
      <c r="Q17" s="11"/>
      <c r="R17" s="11"/>
      <c r="S17" s="11"/>
      <c r="T17" s="11"/>
    </row>
    <row r="18" spans="1:20" s="12" customFormat="1" ht="22.5" customHeight="1">
      <c r="A18" s="173" t="s">
        <v>17</v>
      </c>
      <c r="B18" s="176">
        <f t="shared" si="0"/>
        <v>3</v>
      </c>
      <c r="C18" s="179" t="s">
        <v>5</v>
      </c>
      <c r="D18" s="177">
        <f t="shared" si="1"/>
        <v>794</v>
      </c>
      <c r="E18" s="176">
        <f>리집계표!B18</f>
        <v>0</v>
      </c>
      <c r="F18" s="179" t="s">
        <v>5</v>
      </c>
      <c r="G18" s="177">
        <f>리집계표!D18</f>
        <v>0</v>
      </c>
      <c r="H18" s="176">
        <f>리집계표!B48</f>
        <v>3</v>
      </c>
      <c r="I18" s="179" t="s">
        <v>5</v>
      </c>
      <c r="J18" s="177">
        <f>리집계표!D48</f>
        <v>794</v>
      </c>
      <c r="K18" s="176">
        <f>리집계표!B78</f>
        <v>0</v>
      </c>
      <c r="L18" s="179" t="s">
        <v>5</v>
      </c>
      <c r="M18" s="177">
        <f>리집계표!D78</f>
        <v>0</v>
      </c>
      <c r="N18" s="174"/>
      <c r="O18" s="11"/>
      <c r="P18" s="11"/>
      <c r="Q18" s="11"/>
      <c r="R18" s="11"/>
      <c r="S18" s="11"/>
      <c r="T18" s="11"/>
    </row>
    <row r="19" spans="1:20" s="12" customFormat="1" ht="22.5" customHeight="1">
      <c r="A19" s="173" t="s">
        <v>22</v>
      </c>
      <c r="B19" s="176">
        <f t="shared" si="0"/>
        <v>0</v>
      </c>
      <c r="C19" s="179" t="s">
        <v>5</v>
      </c>
      <c r="D19" s="177">
        <f t="shared" si="1"/>
        <v>0</v>
      </c>
      <c r="E19" s="176">
        <f>리집계표!B19</f>
        <v>0</v>
      </c>
      <c r="F19" s="179" t="s">
        <v>5</v>
      </c>
      <c r="G19" s="177">
        <f>리집계표!D19</f>
        <v>0</v>
      </c>
      <c r="H19" s="176">
        <f>리집계표!B49</f>
        <v>0</v>
      </c>
      <c r="I19" s="179" t="s">
        <v>5</v>
      </c>
      <c r="J19" s="177">
        <f>리집계표!D49</f>
        <v>0</v>
      </c>
      <c r="K19" s="176">
        <f>리집계표!B79</f>
        <v>0</v>
      </c>
      <c r="L19" s="179" t="s">
        <v>5</v>
      </c>
      <c r="M19" s="177">
        <f>리집계표!D79</f>
        <v>0</v>
      </c>
      <c r="N19" s="174"/>
      <c r="O19" s="11"/>
      <c r="P19" s="11"/>
      <c r="Q19" s="11"/>
      <c r="R19" s="11"/>
      <c r="S19" s="11"/>
      <c r="T19" s="11"/>
    </row>
    <row r="20" spans="1:20" s="12" customFormat="1" ht="22.5" customHeight="1">
      <c r="A20" s="173" t="s">
        <v>38</v>
      </c>
      <c r="B20" s="176">
        <f t="shared" si="0"/>
        <v>0</v>
      </c>
      <c r="C20" s="179" t="s">
        <v>5</v>
      </c>
      <c r="D20" s="177">
        <f t="shared" si="1"/>
        <v>0</v>
      </c>
      <c r="E20" s="176">
        <f>리집계표!B20</f>
        <v>0</v>
      </c>
      <c r="F20" s="179" t="s">
        <v>5</v>
      </c>
      <c r="G20" s="177">
        <f>리집계표!D20</f>
        <v>0</v>
      </c>
      <c r="H20" s="176">
        <f>리집계표!B50</f>
        <v>0</v>
      </c>
      <c r="I20" s="179" t="s">
        <v>5</v>
      </c>
      <c r="J20" s="177">
        <f>리집계표!D50</f>
        <v>0</v>
      </c>
      <c r="K20" s="176">
        <f>리집계표!B80</f>
        <v>0</v>
      </c>
      <c r="L20" s="179" t="s">
        <v>5</v>
      </c>
      <c r="M20" s="177">
        <f>리집계표!D80</f>
        <v>0</v>
      </c>
      <c r="N20" s="174"/>
      <c r="O20" s="11"/>
      <c r="P20" s="11"/>
      <c r="Q20" s="11"/>
      <c r="R20" s="11"/>
      <c r="S20" s="11"/>
      <c r="T20" s="11"/>
    </row>
    <row r="21" spans="1:20" s="12" customFormat="1" ht="22.5" customHeight="1">
      <c r="A21" s="173" t="s">
        <v>16</v>
      </c>
      <c r="B21" s="176">
        <f t="shared" si="0"/>
        <v>4</v>
      </c>
      <c r="C21" s="179" t="s">
        <v>5</v>
      </c>
      <c r="D21" s="177">
        <f t="shared" si="1"/>
        <v>4390</v>
      </c>
      <c r="E21" s="176">
        <f>리집계표!B21</f>
        <v>0</v>
      </c>
      <c r="F21" s="179" t="s">
        <v>5</v>
      </c>
      <c r="G21" s="177">
        <f>리집계표!D21</f>
        <v>0</v>
      </c>
      <c r="H21" s="176">
        <f>리집계표!B51</f>
        <v>3</v>
      </c>
      <c r="I21" s="179" t="s">
        <v>5</v>
      </c>
      <c r="J21" s="177">
        <f>리집계표!D51</f>
        <v>4352</v>
      </c>
      <c r="K21" s="176">
        <f>리집계표!B81</f>
        <v>1</v>
      </c>
      <c r="L21" s="179" t="s">
        <v>5</v>
      </c>
      <c r="M21" s="177">
        <f>리집계표!D81</f>
        <v>38</v>
      </c>
      <c r="N21" s="174"/>
      <c r="O21" s="11"/>
      <c r="P21" s="11"/>
      <c r="Q21" s="11"/>
      <c r="R21" s="11"/>
      <c r="S21" s="11"/>
      <c r="T21" s="11"/>
    </row>
    <row r="22" spans="1:20" s="12" customFormat="1" ht="22.5" customHeight="1">
      <c r="A22" s="173" t="s">
        <v>19</v>
      </c>
      <c r="B22" s="176">
        <f t="shared" si="0"/>
        <v>0</v>
      </c>
      <c r="C22" s="179" t="s">
        <v>5</v>
      </c>
      <c r="D22" s="177">
        <f t="shared" si="1"/>
        <v>0</v>
      </c>
      <c r="E22" s="176">
        <f>리집계표!B22</f>
        <v>0</v>
      </c>
      <c r="F22" s="179" t="s">
        <v>5</v>
      </c>
      <c r="G22" s="177">
        <f>리집계표!D22</f>
        <v>0</v>
      </c>
      <c r="H22" s="176">
        <f>리집계표!B52</f>
        <v>0</v>
      </c>
      <c r="I22" s="179" t="s">
        <v>5</v>
      </c>
      <c r="J22" s="177">
        <f>리집계표!D52</f>
        <v>0</v>
      </c>
      <c r="K22" s="176">
        <f>리집계표!B82</f>
        <v>0</v>
      </c>
      <c r="L22" s="179" t="s">
        <v>5</v>
      </c>
      <c r="M22" s="177">
        <f>리집계표!D82</f>
        <v>0</v>
      </c>
      <c r="N22" s="174"/>
      <c r="O22" s="11"/>
      <c r="P22" s="11"/>
      <c r="Q22" s="11"/>
      <c r="R22" s="11"/>
      <c r="S22" s="11"/>
      <c r="T22" s="11"/>
    </row>
    <row r="23" spans="1:20" s="12" customFormat="1" ht="22.5" customHeight="1">
      <c r="A23" s="173" t="s">
        <v>18</v>
      </c>
      <c r="B23" s="176">
        <f t="shared" si="0"/>
        <v>3</v>
      </c>
      <c r="C23" s="179" t="s">
        <v>5</v>
      </c>
      <c r="D23" s="177">
        <f t="shared" si="1"/>
        <v>1271</v>
      </c>
      <c r="E23" s="176">
        <f>리집계표!B23</f>
        <v>0</v>
      </c>
      <c r="F23" s="179" t="s">
        <v>5</v>
      </c>
      <c r="G23" s="177">
        <f>리집계표!D23</f>
        <v>0</v>
      </c>
      <c r="H23" s="176">
        <f>리집계표!B53</f>
        <v>2</v>
      </c>
      <c r="I23" s="179" t="s">
        <v>5</v>
      </c>
      <c r="J23" s="177">
        <f>리집계표!D53</f>
        <v>242</v>
      </c>
      <c r="K23" s="176">
        <f>리집계표!B83</f>
        <v>1</v>
      </c>
      <c r="L23" s="179" t="s">
        <v>5</v>
      </c>
      <c r="M23" s="177">
        <f>리집계표!D83</f>
        <v>1029</v>
      </c>
      <c r="N23" s="174"/>
      <c r="O23" s="11"/>
      <c r="P23" s="11"/>
      <c r="Q23" s="11"/>
      <c r="R23" s="11"/>
      <c r="S23" s="11"/>
      <c r="T23" s="11"/>
    </row>
    <row r="24" spans="1:20" s="12" customFormat="1" ht="22.5" customHeight="1">
      <c r="A24" s="173" t="s">
        <v>39</v>
      </c>
      <c r="B24" s="176">
        <f t="shared" si="0"/>
        <v>0</v>
      </c>
      <c r="C24" s="179" t="s">
        <v>5</v>
      </c>
      <c r="D24" s="177">
        <f t="shared" si="1"/>
        <v>0</v>
      </c>
      <c r="E24" s="176">
        <f>리집계표!B24</f>
        <v>0</v>
      </c>
      <c r="F24" s="179" t="s">
        <v>5</v>
      </c>
      <c r="G24" s="177">
        <f>리집계표!D24</f>
        <v>0</v>
      </c>
      <c r="H24" s="176">
        <f>리집계표!B54</f>
        <v>0</v>
      </c>
      <c r="I24" s="179" t="s">
        <v>5</v>
      </c>
      <c r="J24" s="177">
        <f>리집계표!D54</f>
        <v>0</v>
      </c>
      <c r="K24" s="176">
        <f>리집계표!B84</f>
        <v>0</v>
      </c>
      <c r="L24" s="179" t="s">
        <v>5</v>
      </c>
      <c r="M24" s="177">
        <f>리집계표!D84</f>
        <v>0</v>
      </c>
      <c r="N24" s="174"/>
      <c r="O24" s="11"/>
      <c r="P24" s="11"/>
      <c r="Q24" s="11"/>
      <c r="R24" s="11"/>
      <c r="S24" s="11"/>
      <c r="T24" s="11"/>
    </row>
    <row r="25" spans="1:20" s="12" customFormat="1" ht="22.5" customHeight="1">
      <c r="A25" s="173" t="s">
        <v>40</v>
      </c>
      <c r="B25" s="176">
        <f t="shared" si="0"/>
        <v>0</v>
      </c>
      <c r="C25" s="179" t="s">
        <v>5</v>
      </c>
      <c r="D25" s="177">
        <f t="shared" si="1"/>
        <v>0</v>
      </c>
      <c r="E25" s="176">
        <f>리집계표!B25</f>
        <v>0</v>
      </c>
      <c r="F25" s="179" t="s">
        <v>5</v>
      </c>
      <c r="G25" s="177">
        <f>리집계표!D25</f>
        <v>0</v>
      </c>
      <c r="H25" s="176">
        <f>리집계표!B55</f>
        <v>0</v>
      </c>
      <c r="I25" s="179" t="s">
        <v>5</v>
      </c>
      <c r="J25" s="177">
        <f>리집계표!D55</f>
        <v>0</v>
      </c>
      <c r="K25" s="176">
        <f>리집계표!B85</f>
        <v>0</v>
      </c>
      <c r="L25" s="179" t="s">
        <v>5</v>
      </c>
      <c r="M25" s="177">
        <f>리집계표!D85</f>
        <v>0</v>
      </c>
      <c r="N25" s="174"/>
      <c r="O25" s="11"/>
      <c r="P25" s="11"/>
      <c r="Q25" s="11"/>
      <c r="R25" s="11"/>
      <c r="S25" s="11"/>
      <c r="T25" s="11"/>
    </row>
    <row r="26" spans="1:20" s="12" customFormat="1" ht="22.5" customHeight="1">
      <c r="A26" s="173" t="s">
        <v>41</v>
      </c>
      <c r="B26" s="176">
        <f t="shared" si="0"/>
        <v>0</v>
      </c>
      <c r="C26" s="179" t="s">
        <v>5</v>
      </c>
      <c r="D26" s="177">
        <f t="shared" si="1"/>
        <v>0</v>
      </c>
      <c r="E26" s="176">
        <f>리집계표!B26</f>
        <v>0</v>
      </c>
      <c r="F26" s="179" t="s">
        <v>5</v>
      </c>
      <c r="G26" s="177">
        <f>리집계표!D26</f>
        <v>0</v>
      </c>
      <c r="H26" s="176">
        <f>리집계표!B56</f>
        <v>0</v>
      </c>
      <c r="I26" s="179" t="s">
        <v>5</v>
      </c>
      <c r="J26" s="177">
        <f>리집계표!D56</f>
        <v>0</v>
      </c>
      <c r="K26" s="176">
        <f>리집계표!B86</f>
        <v>0</v>
      </c>
      <c r="L26" s="179" t="s">
        <v>5</v>
      </c>
      <c r="M26" s="177">
        <f>리집계표!D86</f>
        <v>0</v>
      </c>
      <c r="N26" s="174"/>
      <c r="O26" s="11"/>
      <c r="P26" s="11"/>
      <c r="Q26" s="11"/>
      <c r="R26" s="11"/>
      <c r="S26" s="11"/>
      <c r="T26" s="11"/>
    </row>
    <row r="27" spans="1:20" s="12" customFormat="1" ht="22.5" customHeight="1">
      <c r="A27" s="173" t="s">
        <v>42</v>
      </c>
      <c r="B27" s="176">
        <f t="shared" si="0"/>
        <v>0</v>
      </c>
      <c r="C27" s="179" t="s">
        <v>5</v>
      </c>
      <c r="D27" s="177">
        <f t="shared" si="1"/>
        <v>0</v>
      </c>
      <c r="E27" s="176">
        <f>리집계표!B27</f>
        <v>0</v>
      </c>
      <c r="F27" s="179" t="s">
        <v>5</v>
      </c>
      <c r="G27" s="177">
        <f>리집계표!D27</f>
        <v>0</v>
      </c>
      <c r="H27" s="176">
        <f>리집계표!B57</f>
        <v>0</v>
      </c>
      <c r="I27" s="179" t="s">
        <v>5</v>
      </c>
      <c r="J27" s="177">
        <f>리집계표!D57</f>
        <v>0</v>
      </c>
      <c r="K27" s="176">
        <f>리집계표!B87</f>
        <v>0</v>
      </c>
      <c r="L27" s="179" t="s">
        <v>5</v>
      </c>
      <c r="M27" s="177">
        <f>리집계표!D87</f>
        <v>0</v>
      </c>
      <c r="N27" s="174"/>
      <c r="O27" s="11"/>
      <c r="P27" s="11"/>
      <c r="Q27" s="11"/>
      <c r="R27" s="11"/>
      <c r="S27" s="11"/>
      <c r="T27" s="11"/>
    </row>
    <row r="28" spans="1:20" s="12" customFormat="1" ht="22.5" customHeight="1">
      <c r="A28" s="173" t="s">
        <v>43</v>
      </c>
      <c r="B28" s="176">
        <f t="shared" si="0"/>
        <v>0</v>
      </c>
      <c r="C28" s="179" t="s">
        <v>5</v>
      </c>
      <c r="D28" s="177">
        <f t="shared" si="1"/>
        <v>0</v>
      </c>
      <c r="E28" s="176">
        <f>리집계표!B28</f>
        <v>0</v>
      </c>
      <c r="F28" s="179" t="s">
        <v>5</v>
      </c>
      <c r="G28" s="177">
        <f>리집계표!D28</f>
        <v>0</v>
      </c>
      <c r="H28" s="176">
        <f>리집계표!B58</f>
        <v>0</v>
      </c>
      <c r="I28" s="179" t="s">
        <v>5</v>
      </c>
      <c r="J28" s="177">
        <f>리집계표!D58</f>
        <v>0</v>
      </c>
      <c r="K28" s="176">
        <f>리집계표!B88</f>
        <v>0</v>
      </c>
      <c r="L28" s="179" t="s">
        <v>5</v>
      </c>
      <c r="M28" s="177">
        <f>리집계표!D88</f>
        <v>0</v>
      </c>
      <c r="N28" s="174"/>
      <c r="O28" s="11"/>
      <c r="P28" s="11"/>
      <c r="Q28" s="11"/>
      <c r="R28" s="11"/>
      <c r="S28" s="11"/>
      <c r="T28" s="11"/>
    </row>
    <row r="29" spans="1:20" s="12" customFormat="1" ht="22.5" customHeight="1">
      <c r="A29" s="173" t="s">
        <v>66</v>
      </c>
      <c r="B29" s="176">
        <f t="shared" si="0"/>
        <v>0</v>
      </c>
      <c r="C29" s="179" t="s">
        <v>5</v>
      </c>
      <c r="D29" s="177">
        <f t="shared" si="1"/>
        <v>0</v>
      </c>
      <c r="E29" s="176">
        <f>리집계표!B29</f>
        <v>0</v>
      </c>
      <c r="F29" s="179" t="s">
        <v>5</v>
      </c>
      <c r="G29" s="177">
        <f>리집계표!D29</f>
        <v>0</v>
      </c>
      <c r="H29" s="176">
        <f>리집계표!B59</f>
        <v>0</v>
      </c>
      <c r="I29" s="179" t="s">
        <v>5</v>
      </c>
      <c r="J29" s="177">
        <f>리집계표!D59</f>
        <v>0</v>
      </c>
      <c r="K29" s="176">
        <f>리집계표!B89</f>
        <v>0</v>
      </c>
      <c r="L29" s="179" t="s">
        <v>5</v>
      </c>
      <c r="M29" s="177">
        <f>리집계표!D89</f>
        <v>0</v>
      </c>
      <c r="N29" s="174"/>
      <c r="O29" s="11"/>
      <c r="P29" s="11"/>
      <c r="Q29" s="11"/>
      <c r="R29" s="11"/>
      <c r="S29" s="11"/>
      <c r="T29" s="11"/>
    </row>
    <row r="30" spans="1:20" s="12" customFormat="1" ht="22.5" customHeight="1">
      <c r="A30" s="173" t="s">
        <v>591</v>
      </c>
      <c r="B30" s="176">
        <f t="shared" si="0"/>
        <v>4</v>
      </c>
      <c r="C30" s="179" t="s">
        <v>5</v>
      </c>
      <c r="D30" s="177">
        <f t="shared" si="1"/>
        <v>4305</v>
      </c>
      <c r="E30" s="176">
        <f>리집계표!B30</f>
        <v>0</v>
      </c>
      <c r="F30" s="179" t="s">
        <v>5</v>
      </c>
      <c r="G30" s="177">
        <f>리집계표!D30</f>
        <v>0</v>
      </c>
      <c r="H30" s="176">
        <f>리집계표!B60</f>
        <v>2</v>
      </c>
      <c r="I30" s="179" t="s">
        <v>5</v>
      </c>
      <c r="J30" s="177">
        <f>리집계표!D60</f>
        <v>1319</v>
      </c>
      <c r="K30" s="176">
        <f>리집계표!B90</f>
        <v>2</v>
      </c>
      <c r="L30" s="179" t="s">
        <v>5</v>
      </c>
      <c r="M30" s="177">
        <f>리집계표!D90</f>
        <v>2986</v>
      </c>
      <c r="N30" s="174"/>
      <c r="O30" s="11"/>
      <c r="P30" s="11"/>
      <c r="Q30" s="11"/>
      <c r="R30" s="11"/>
      <c r="S30" s="11"/>
      <c r="T30" s="11"/>
    </row>
    <row r="31" spans="1:20" s="12" customFormat="1" ht="22.5" customHeight="1">
      <c r="A31" s="173" t="s">
        <v>54</v>
      </c>
      <c r="B31" s="176">
        <f t="shared" si="0"/>
        <v>0</v>
      </c>
      <c r="C31" s="179" t="s">
        <v>5</v>
      </c>
      <c r="D31" s="177">
        <f t="shared" si="1"/>
        <v>0</v>
      </c>
      <c r="E31" s="176">
        <f>리집계표!B31</f>
        <v>0</v>
      </c>
      <c r="F31" s="179" t="s">
        <v>5</v>
      </c>
      <c r="G31" s="177">
        <f>리집계표!D31</f>
        <v>0</v>
      </c>
      <c r="H31" s="176">
        <f>리집계표!B61</f>
        <v>0</v>
      </c>
      <c r="I31" s="179" t="s">
        <v>5</v>
      </c>
      <c r="J31" s="177">
        <f>리집계표!D61</f>
        <v>0</v>
      </c>
      <c r="K31" s="176">
        <f>리집계표!B91</f>
        <v>0</v>
      </c>
      <c r="L31" s="179" t="s">
        <v>5</v>
      </c>
      <c r="M31" s="177">
        <f>리집계표!D91</f>
        <v>0</v>
      </c>
      <c r="N31" s="174"/>
      <c r="O31" s="11"/>
      <c r="P31" s="11"/>
      <c r="Q31" s="11"/>
      <c r="R31" s="11"/>
      <c r="S31" s="11"/>
      <c r="T31" s="11"/>
    </row>
    <row r="32" spans="1:14" s="7" customFormat="1" ht="60" customHeight="1">
      <c r="A32" s="36" t="s">
        <v>63</v>
      </c>
      <c r="B32" s="5"/>
      <c r="C32" s="5"/>
      <c r="D32" s="6"/>
      <c r="E32" s="6"/>
      <c r="F32" s="5"/>
      <c r="G32" s="5"/>
      <c r="H32" s="6"/>
      <c r="I32" s="5"/>
      <c r="J32" s="5"/>
      <c r="K32" s="5"/>
      <c r="L32" s="5"/>
      <c r="M32" s="5"/>
      <c r="N32" s="5"/>
    </row>
    <row r="33" spans="1:14" s="10" customFormat="1" ht="19.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8"/>
      <c r="L33" s="178"/>
      <c r="M33" s="9"/>
      <c r="N33" s="5"/>
    </row>
    <row r="34" spans="1:14" s="10" customFormat="1" ht="9.75" customHeight="1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20" s="12" customFormat="1" ht="27.75" customHeight="1">
      <c r="A35" s="31" t="s">
        <v>2</v>
      </c>
      <c r="B35" s="32" t="s">
        <v>3</v>
      </c>
      <c r="C35" s="33"/>
      <c r="D35" s="34"/>
      <c r="E35" s="180" t="s">
        <v>75</v>
      </c>
      <c r="F35" s="33"/>
      <c r="G35" s="34"/>
      <c r="H35" s="180" t="s">
        <v>76</v>
      </c>
      <c r="I35" s="33"/>
      <c r="J35" s="34"/>
      <c r="K35" s="32" t="s">
        <v>77</v>
      </c>
      <c r="L35" s="33"/>
      <c r="M35" s="34"/>
      <c r="N35" s="31" t="s">
        <v>21</v>
      </c>
      <c r="O35" s="11"/>
      <c r="S35" s="11"/>
      <c r="T35" s="11"/>
    </row>
    <row r="36" spans="1:20" s="12" customFormat="1" ht="27.75" customHeight="1">
      <c r="A36" s="181"/>
      <c r="B36" s="184" t="s">
        <v>57</v>
      </c>
      <c r="C36" s="187" t="s">
        <v>5</v>
      </c>
      <c r="D36" s="185" t="s">
        <v>46</v>
      </c>
      <c r="E36" s="184" t="s">
        <v>57</v>
      </c>
      <c r="F36" s="187" t="s">
        <v>5</v>
      </c>
      <c r="G36" s="186" t="s">
        <v>56</v>
      </c>
      <c r="H36" s="184" t="s">
        <v>57</v>
      </c>
      <c r="I36" s="187" t="s">
        <v>5</v>
      </c>
      <c r="J36" s="186" t="s">
        <v>56</v>
      </c>
      <c r="K36" s="184" t="s">
        <v>57</v>
      </c>
      <c r="L36" s="187" t="s">
        <v>5</v>
      </c>
      <c r="M36" s="185" t="s">
        <v>46</v>
      </c>
      <c r="N36" s="182"/>
      <c r="P36" s="11"/>
      <c r="Q36" s="13" t="s">
        <v>47</v>
      </c>
      <c r="R36" s="13" t="s">
        <v>48</v>
      </c>
      <c r="S36" s="13" t="s">
        <v>49</v>
      </c>
      <c r="T36" s="13" t="s">
        <v>50</v>
      </c>
    </row>
    <row r="37" spans="1:20" s="12" customFormat="1" ht="22.5" customHeight="1">
      <c r="A37" s="173" t="s">
        <v>3</v>
      </c>
      <c r="B37" s="176">
        <f>SUM(B38:B62)</f>
        <v>45</v>
      </c>
      <c r="C37" s="179" t="s">
        <v>5</v>
      </c>
      <c r="D37" s="177">
        <f>SUM(D38:D62)</f>
        <v>26239</v>
      </c>
      <c r="E37" s="176">
        <f>SUM(E38:E62)</f>
        <v>11</v>
      </c>
      <c r="F37" s="179" t="s">
        <v>5</v>
      </c>
      <c r="G37" s="177">
        <f>SUM(G38:G62)</f>
        <v>6108</v>
      </c>
      <c r="H37" s="176">
        <f>SUM(H38:H62)</f>
        <v>16</v>
      </c>
      <c r="I37" s="179" t="s">
        <v>5</v>
      </c>
      <c r="J37" s="177">
        <f>SUM(J38:J62)</f>
        <v>14895</v>
      </c>
      <c r="K37" s="176">
        <f>SUM(K38:K62)</f>
        <v>18</v>
      </c>
      <c r="L37" s="179" t="s">
        <v>5</v>
      </c>
      <c r="M37" s="177">
        <f>SUM(M38:M62)</f>
        <v>5236</v>
      </c>
      <c r="N37" s="174"/>
      <c r="O37" s="11" t="str">
        <f>IF(EXACT(Q37,T37),"맞음","틀림")</f>
        <v>틀림</v>
      </c>
      <c r="P37" s="11" t="s">
        <v>4</v>
      </c>
      <c r="Q37" s="14">
        <f>SUM(B38:B62)</f>
        <v>45</v>
      </c>
      <c r="R37" s="14">
        <f>SUM(E38:E62)</f>
        <v>11</v>
      </c>
      <c r="S37" s="14">
        <f>SUM(K38:K62)</f>
        <v>18</v>
      </c>
      <c r="T37" s="14">
        <f>K37+E37</f>
        <v>29</v>
      </c>
    </row>
    <row r="38" spans="1:20" s="12" customFormat="1" ht="22.5" customHeight="1">
      <c r="A38" s="173" t="s">
        <v>6</v>
      </c>
      <c r="B38" s="176">
        <f>E38+H38+K38</f>
        <v>6</v>
      </c>
      <c r="C38" s="179" t="s">
        <v>5</v>
      </c>
      <c r="D38" s="177">
        <f>G38+J38+M38</f>
        <v>433</v>
      </c>
      <c r="E38" s="176">
        <f>리집계표!E7</f>
        <v>1</v>
      </c>
      <c r="F38" s="179" t="s">
        <v>5</v>
      </c>
      <c r="G38" s="177">
        <f>리집계표!G7</f>
        <v>180</v>
      </c>
      <c r="H38" s="176">
        <f>리집계표!E37</f>
        <v>3</v>
      </c>
      <c r="I38" s="179" t="s">
        <v>5</v>
      </c>
      <c r="J38" s="177">
        <f>리집계표!G37</f>
        <v>124</v>
      </c>
      <c r="K38" s="176">
        <f>리집계표!E67</f>
        <v>2</v>
      </c>
      <c r="L38" s="179" t="s">
        <v>5</v>
      </c>
      <c r="M38" s="177">
        <f>리집계표!G67</f>
        <v>129</v>
      </c>
      <c r="N38" s="174"/>
      <c r="O38" s="11" t="str">
        <f>IF(EXACT(Q38,T38),"맞음","틀림")</f>
        <v>틀림</v>
      </c>
      <c r="P38" s="11" t="s">
        <v>51</v>
      </c>
      <c r="Q38" s="14">
        <f>SUM(D38:D62)</f>
        <v>26239</v>
      </c>
      <c r="R38" s="14">
        <f>SUM(G38:G62)</f>
        <v>6108</v>
      </c>
      <c r="S38" s="14">
        <f>SUM(M38:M62)</f>
        <v>5236</v>
      </c>
      <c r="T38" s="14">
        <f>G37+M37</f>
        <v>11344</v>
      </c>
    </row>
    <row r="39" spans="1:19" s="12" customFormat="1" ht="22.5" customHeight="1">
      <c r="A39" s="173" t="s">
        <v>7</v>
      </c>
      <c r="B39" s="176">
        <f aca="true" t="shared" si="2" ref="B39:B62">E39+H39+K39</f>
        <v>2</v>
      </c>
      <c r="C39" s="179" t="s">
        <v>5</v>
      </c>
      <c r="D39" s="177">
        <f aca="true" t="shared" si="3" ref="D39:D62">G39+J39+M39</f>
        <v>64</v>
      </c>
      <c r="E39" s="176">
        <f>리집계표!E8</f>
        <v>2</v>
      </c>
      <c r="F39" s="179" t="s">
        <v>5</v>
      </c>
      <c r="G39" s="177">
        <f>리집계표!G8</f>
        <v>64</v>
      </c>
      <c r="H39" s="176">
        <f>리집계표!E38</f>
        <v>0</v>
      </c>
      <c r="I39" s="179" t="s">
        <v>5</v>
      </c>
      <c r="J39" s="177">
        <f>리집계표!G38</f>
        <v>0</v>
      </c>
      <c r="K39" s="176">
        <f>리집계표!E68</f>
        <v>0</v>
      </c>
      <c r="L39" s="179" t="s">
        <v>5</v>
      </c>
      <c r="M39" s="177">
        <f>리집계표!G68</f>
        <v>0</v>
      </c>
      <c r="N39" s="174"/>
      <c r="Q39" s="11"/>
      <c r="S39" s="11"/>
    </row>
    <row r="40" spans="1:19" s="12" customFormat="1" ht="22.5" customHeight="1">
      <c r="A40" s="175" t="s">
        <v>8</v>
      </c>
      <c r="B40" s="176">
        <f t="shared" si="2"/>
        <v>14</v>
      </c>
      <c r="C40" s="179" t="s">
        <v>5</v>
      </c>
      <c r="D40" s="177">
        <f t="shared" si="3"/>
        <v>14072</v>
      </c>
      <c r="E40" s="176">
        <f>리집계표!E9</f>
        <v>7</v>
      </c>
      <c r="F40" s="179" t="s">
        <v>5</v>
      </c>
      <c r="G40" s="177">
        <f>리집계표!G9</f>
        <v>5859</v>
      </c>
      <c r="H40" s="176">
        <f>리집계표!E39</f>
        <v>7</v>
      </c>
      <c r="I40" s="179" t="s">
        <v>5</v>
      </c>
      <c r="J40" s="177">
        <f>리집계표!G39</f>
        <v>8213</v>
      </c>
      <c r="K40" s="176">
        <f>리집계표!E69</f>
        <v>0</v>
      </c>
      <c r="L40" s="179" t="s">
        <v>5</v>
      </c>
      <c r="M40" s="177">
        <f>리집계표!G69</f>
        <v>0</v>
      </c>
      <c r="N40" s="174"/>
      <c r="Q40" s="11"/>
      <c r="S40" s="11"/>
    </row>
    <row r="41" spans="1:20" s="12" customFormat="1" ht="22.5" customHeight="1">
      <c r="A41" s="173" t="s">
        <v>9</v>
      </c>
      <c r="B41" s="176">
        <f t="shared" si="2"/>
        <v>0</v>
      </c>
      <c r="C41" s="179" t="s">
        <v>5</v>
      </c>
      <c r="D41" s="177">
        <f t="shared" si="3"/>
        <v>0</v>
      </c>
      <c r="E41" s="176">
        <f>리집계표!E10</f>
        <v>0</v>
      </c>
      <c r="F41" s="179" t="s">
        <v>5</v>
      </c>
      <c r="G41" s="177">
        <f>리집계표!G10</f>
        <v>0</v>
      </c>
      <c r="H41" s="176">
        <f>리집계표!E40</f>
        <v>0</v>
      </c>
      <c r="I41" s="179" t="s">
        <v>5</v>
      </c>
      <c r="J41" s="177">
        <f>리집계표!G40</f>
        <v>0</v>
      </c>
      <c r="K41" s="176">
        <f>리집계표!E70</f>
        <v>0</v>
      </c>
      <c r="L41" s="179" t="s">
        <v>5</v>
      </c>
      <c r="M41" s="177">
        <f>리집계표!G70</f>
        <v>0</v>
      </c>
      <c r="N41" s="174"/>
      <c r="O41" s="11"/>
      <c r="P41" s="11"/>
      <c r="Q41" s="11"/>
      <c r="R41" s="11"/>
      <c r="S41" s="11"/>
      <c r="T41" s="11"/>
    </row>
    <row r="42" spans="1:20" s="12" customFormat="1" ht="22.5" customHeight="1">
      <c r="A42" s="173" t="s">
        <v>10</v>
      </c>
      <c r="B42" s="176">
        <f t="shared" si="2"/>
        <v>20</v>
      </c>
      <c r="C42" s="179" t="s">
        <v>5</v>
      </c>
      <c r="D42" s="177">
        <f t="shared" si="3"/>
        <v>10474</v>
      </c>
      <c r="E42" s="176">
        <f>리집계표!E11</f>
        <v>1</v>
      </c>
      <c r="F42" s="179" t="s">
        <v>5</v>
      </c>
      <c r="G42" s="177">
        <f>리집계표!G11</f>
        <v>5</v>
      </c>
      <c r="H42" s="176">
        <f>리집계표!E41</f>
        <v>4</v>
      </c>
      <c r="I42" s="179" t="s">
        <v>5</v>
      </c>
      <c r="J42" s="177">
        <f>리집계표!G41</f>
        <v>5920</v>
      </c>
      <c r="K42" s="176">
        <f>리집계표!E71</f>
        <v>15</v>
      </c>
      <c r="L42" s="179" t="s">
        <v>5</v>
      </c>
      <c r="M42" s="177">
        <f>리집계표!G71</f>
        <v>4549</v>
      </c>
      <c r="N42" s="174"/>
      <c r="O42" s="11"/>
      <c r="P42" s="11"/>
      <c r="Q42" s="11"/>
      <c r="R42" s="11"/>
      <c r="S42" s="11"/>
      <c r="T42" s="11"/>
    </row>
    <row r="43" spans="1:20" s="12" customFormat="1" ht="22.5" customHeight="1">
      <c r="A43" s="173" t="s">
        <v>12</v>
      </c>
      <c r="B43" s="176">
        <f t="shared" si="2"/>
        <v>1</v>
      </c>
      <c r="C43" s="179" t="s">
        <v>5</v>
      </c>
      <c r="D43" s="177">
        <f t="shared" si="3"/>
        <v>558</v>
      </c>
      <c r="E43" s="176">
        <f>리집계표!E12</f>
        <v>0</v>
      </c>
      <c r="F43" s="179" t="s">
        <v>5</v>
      </c>
      <c r="G43" s="177">
        <f>리집계표!G12</f>
        <v>0</v>
      </c>
      <c r="H43" s="176">
        <f>리집계표!E42</f>
        <v>0</v>
      </c>
      <c r="I43" s="179" t="s">
        <v>5</v>
      </c>
      <c r="J43" s="177">
        <f>리집계표!G42</f>
        <v>0</v>
      </c>
      <c r="K43" s="176">
        <f>리집계표!E72</f>
        <v>1</v>
      </c>
      <c r="L43" s="179" t="s">
        <v>5</v>
      </c>
      <c r="M43" s="177">
        <f>리집계표!G72</f>
        <v>558</v>
      </c>
      <c r="N43" s="174"/>
      <c r="O43" s="11"/>
      <c r="P43" s="11"/>
      <c r="Q43" s="11"/>
      <c r="R43" s="11"/>
      <c r="S43" s="11"/>
      <c r="T43" s="11"/>
    </row>
    <row r="44" spans="1:20" s="12" customFormat="1" ht="22.5" customHeight="1">
      <c r="A44" s="173" t="s">
        <v>11</v>
      </c>
      <c r="B44" s="176">
        <f t="shared" si="2"/>
        <v>2</v>
      </c>
      <c r="C44" s="179" t="s">
        <v>5</v>
      </c>
      <c r="D44" s="177">
        <f t="shared" si="3"/>
        <v>638</v>
      </c>
      <c r="E44" s="176">
        <f>리집계표!E13</f>
        <v>0</v>
      </c>
      <c r="F44" s="179" t="s">
        <v>5</v>
      </c>
      <c r="G44" s="177">
        <f>리집계표!G13</f>
        <v>0</v>
      </c>
      <c r="H44" s="176">
        <f>리집계표!E43</f>
        <v>2</v>
      </c>
      <c r="I44" s="179" t="s">
        <v>5</v>
      </c>
      <c r="J44" s="177">
        <f>리집계표!G43</f>
        <v>638</v>
      </c>
      <c r="K44" s="176">
        <f>리집계표!E73</f>
        <v>0</v>
      </c>
      <c r="L44" s="179" t="s">
        <v>5</v>
      </c>
      <c r="M44" s="177">
        <f>리집계표!G73</f>
        <v>0</v>
      </c>
      <c r="N44" s="174"/>
      <c r="O44" s="11"/>
      <c r="P44" s="11"/>
      <c r="Q44" s="11"/>
      <c r="R44" s="11"/>
      <c r="S44" s="11"/>
      <c r="T44" s="11"/>
    </row>
    <row r="45" spans="1:20" s="12" customFormat="1" ht="22.5" customHeight="1">
      <c r="A45" s="173" t="s">
        <v>14</v>
      </c>
      <c r="B45" s="176">
        <f t="shared" si="2"/>
        <v>0</v>
      </c>
      <c r="C45" s="179" t="s">
        <v>5</v>
      </c>
      <c r="D45" s="177">
        <f t="shared" si="3"/>
        <v>0</v>
      </c>
      <c r="E45" s="176">
        <f>리집계표!E14</f>
        <v>0</v>
      </c>
      <c r="F45" s="179" t="s">
        <v>5</v>
      </c>
      <c r="G45" s="177">
        <f>리집계표!G14</f>
        <v>0</v>
      </c>
      <c r="H45" s="176">
        <f>리집계표!E44</f>
        <v>0</v>
      </c>
      <c r="I45" s="179" t="s">
        <v>5</v>
      </c>
      <c r="J45" s="177">
        <f>리집계표!G44</f>
        <v>0</v>
      </c>
      <c r="K45" s="176">
        <f>리집계표!E74</f>
        <v>0</v>
      </c>
      <c r="L45" s="179" t="s">
        <v>5</v>
      </c>
      <c r="M45" s="177">
        <f>리집계표!G74</f>
        <v>0</v>
      </c>
      <c r="N45" s="174"/>
      <c r="O45" s="11"/>
      <c r="P45" s="11"/>
      <c r="Q45" s="11"/>
      <c r="R45" s="11"/>
      <c r="S45" s="11"/>
      <c r="T45" s="11"/>
    </row>
    <row r="46" spans="1:20" s="12" customFormat="1" ht="22.5" customHeight="1">
      <c r="A46" s="173" t="s">
        <v>13</v>
      </c>
      <c r="B46" s="176">
        <f t="shared" si="2"/>
        <v>0</v>
      </c>
      <c r="C46" s="179" t="s">
        <v>5</v>
      </c>
      <c r="D46" s="177">
        <f t="shared" si="3"/>
        <v>0</v>
      </c>
      <c r="E46" s="176">
        <f>리집계표!E15</f>
        <v>0</v>
      </c>
      <c r="F46" s="179" t="s">
        <v>5</v>
      </c>
      <c r="G46" s="177">
        <f>리집계표!G15</f>
        <v>0</v>
      </c>
      <c r="H46" s="176">
        <f>리집계표!E45</f>
        <v>0</v>
      </c>
      <c r="I46" s="179" t="s">
        <v>5</v>
      </c>
      <c r="J46" s="177">
        <f>리집계표!G45</f>
        <v>0</v>
      </c>
      <c r="K46" s="176">
        <f>리집계표!E75</f>
        <v>0</v>
      </c>
      <c r="L46" s="179" t="s">
        <v>5</v>
      </c>
      <c r="M46" s="177">
        <f>리집계표!G75</f>
        <v>0</v>
      </c>
      <c r="N46" s="174"/>
      <c r="O46" s="11"/>
      <c r="P46" s="11"/>
      <c r="Q46" s="11"/>
      <c r="R46" s="11"/>
      <c r="S46" s="11"/>
      <c r="T46" s="11"/>
    </row>
    <row r="47" spans="1:20" s="12" customFormat="1" ht="22.5" customHeight="1">
      <c r="A47" s="173" t="s">
        <v>15</v>
      </c>
      <c r="B47" s="176">
        <f t="shared" si="2"/>
        <v>0</v>
      </c>
      <c r="C47" s="179" t="s">
        <v>5</v>
      </c>
      <c r="D47" s="177">
        <f t="shared" si="3"/>
        <v>0</v>
      </c>
      <c r="E47" s="176">
        <f>리집계표!E16</f>
        <v>0</v>
      </c>
      <c r="F47" s="179" t="s">
        <v>5</v>
      </c>
      <c r="G47" s="177">
        <f>리집계표!G16</f>
        <v>0</v>
      </c>
      <c r="H47" s="176">
        <f>리집계표!E46</f>
        <v>0</v>
      </c>
      <c r="I47" s="179" t="s">
        <v>5</v>
      </c>
      <c r="J47" s="177">
        <f>리집계표!G46</f>
        <v>0</v>
      </c>
      <c r="K47" s="176">
        <f>리집계표!E76</f>
        <v>0</v>
      </c>
      <c r="L47" s="179" t="s">
        <v>5</v>
      </c>
      <c r="M47" s="177">
        <f>리집계표!G76</f>
        <v>0</v>
      </c>
      <c r="N47" s="174"/>
      <c r="O47" s="11"/>
      <c r="P47" s="11"/>
      <c r="Q47" s="11"/>
      <c r="R47" s="11"/>
      <c r="S47" s="11"/>
      <c r="T47" s="11"/>
    </row>
    <row r="48" spans="1:20" s="12" customFormat="1" ht="22.5" customHeight="1">
      <c r="A48" s="173" t="s">
        <v>20</v>
      </c>
      <c r="B48" s="176">
        <f t="shared" si="2"/>
        <v>0</v>
      </c>
      <c r="C48" s="179" t="s">
        <v>5</v>
      </c>
      <c r="D48" s="177">
        <f t="shared" si="3"/>
        <v>0</v>
      </c>
      <c r="E48" s="176">
        <f>리집계표!E17</f>
        <v>0</v>
      </c>
      <c r="F48" s="179" t="s">
        <v>5</v>
      </c>
      <c r="G48" s="177">
        <f>리집계표!G17</f>
        <v>0</v>
      </c>
      <c r="H48" s="176">
        <f>리집계표!E47</f>
        <v>0</v>
      </c>
      <c r="I48" s="179" t="s">
        <v>5</v>
      </c>
      <c r="J48" s="177">
        <f>리집계표!G47</f>
        <v>0</v>
      </c>
      <c r="K48" s="176">
        <f>리집계표!E77</f>
        <v>0</v>
      </c>
      <c r="L48" s="179" t="s">
        <v>5</v>
      </c>
      <c r="M48" s="177">
        <f>리집계표!G77</f>
        <v>0</v>
      </c>
      <c r="N48" s="174"/>
      <c r="O48" s="11"/>
      <c r="P48" s="11"/>
      <c r="Q48" s="11"/>
      <c r="R48" s="11"/>
      <c r="S48" s="11"/>
      <c r="T48" s="11"/>
    </row>
    <row r="49" spans="1:20" s="12" customFormat="1" ht="22.5" customHeight="1">
      <c r="A49" s="173" t="s">
        <v>17</v>
      </c>
      <c r="B49" s="176">
        <f t="shared" si="2"/>
        <v>0</v>
      </c>
      <c r="C49" s="179" t="s">
        <v>5</v>
      </c>
      <c r="D49" s="177">
        <f t="shared" si="3"/>
        <v>0</v>
      </c>
      <c r="E49" s="176">
        <f>리집계표!E18</f>
        <v>0</v>
      </c>
      <c r="F49" s="179" t="s">
        <v>5</v>
      </c>
      <c r="G49" s="177">
        <f>리집계표!G18</f>
        <v>0</v>
      </c>
      <c r="H49" s="176">
        <f>리집계표!E48</f>
        <v>0</v>
      </c>
      <c r="I49" s="179" t="s">
        <v>5</v>
      </c>
      <c r="J49" s="177">
        <f>리집계표!G48</f>
        <v>0</v>
      </c>
      <c r="K49" s="176">
        <f>리집계표!E78</f>
        <v>0</v>
      </c>
      <c r="L49" s="179" t="s">
        <v>5</v>
      </c>
      <c r="M49" s="177">
        <f>리집계표!G78</f>
        <v>0</v>
      </c>
      <c r="N49" s="174"/>
      <c r="O49" s="11"/>
      <c r="P49" s="11"/>
      <c r="Q49" s="11"/>
      <c r="R49" s="11"/>
      <c r="S49" s="11"/>
      <c r="T49" s="11"/>
    </row>
    <row r="50" spans="1:20" s="12" customFormat="1" ht="22.5" customHeight="1">
      <c r="A50" s="173" t="s">
        <v>22</v>
      </c>
      <c r="B50" s="176">
        <f t="shared" si="2"/>
        <v>0</v>
      </c>
      <c r="C50" s="179" t="s">
        <v>5</v>
      </c>
      <c r="D50" s="177">
        <f t="shared" si="3"/>
        <v>0</v>
      </c>
      <c r="E50" s="176">
        <f>리집계표!E19</f>
        <v>0</v>
      </c>
      <c r="F50" s="179" t="s">
        <v>5</v>
      </c>
      <c r="G50" s="177">
        <f>리집계표!G19</f>
        <v>0</v>
      </c>
      <c r="H50" s="176">
        <f>리집계표!E49</f>
        <v>0</v>
      </c>
      <c r="I50" s="179" t="s">
        <v>5</v>
      </c>
      <c r="J50" s="177">
        <f>리집계표!G49</f>
        <v>0</v>
      </c>
      <c r="K50" s="176">
        <f>리집계표!E79</f>
        <v>0</v>
      </c>
      <c r="L50" s="179" t="s">
        <v>5</v>
      </c>
      <c r="M50" s="177">
        <f>리집계표!G79</f>
        <v>0</v>
      </c>
      <c r="N50" s="174"/>
      <c r="O50" s="11"/>
      <c r="P50" s="11"/>
      <c r="Q50" s="11"/>
      <c r="R50" s="11"/>
      <c r="S50" s="11"/>
      <c r="T50" s="11"/>
    </row>
    <row r="51" spans="1:20" s="12" customFormat="1" ht="22.5" customHeight="1">
      <c r="A51" s="173" t="s">
        <v>38</v>
      </c>
      <c r="B51" s="176">
        <f t="shared" si="2"/>
        <v>0</v>
      </c>
      <c r="C51" s="179" t="s">
        <v>5</v>
      </c>
      <c r="D51" s="177">
        <f t="shared" si="3"/>
        <v>0</v>
      </c>
      <c r="E51" s="176">
        <f>리집계표!E20</f>
        <v>0</v>
      </c>
      <c r="F51" s="179" t="s">
        <v>5</v>
      </c>
      <c r="G51" s="177">
        <f>리집계표!G20</f>
        <v>0</v>
      </c>
      <c r="H51" s="176">
        <f>리집계표!E50</f>
        <v>0</v>
      </c>
      <c r="I51" s="179" t="s">
        <v>5</v>
      </c>
      <c r="J51" s="177">
        <f>리집계표!G50</f>
        <v>0</v>
      </c>
      <c r="K51" s="176">
        <f>리집계표!E80</f>
        <v>0</v>
      </c>
      <c r="L51" s="179" t="s">
        <v>5</v>
      </c>
      <c r="M51" s="177">
        <f>리집계표!G80</f>
        <v>0</v>
      </c>
      <c r="N51" s="174"/>
      <c r="O51" s="11"/>
      <c r="P51" s="11"/>
      <c r="Q51" s="11"/>
      <c r="R51" s="11"/>
      <c r="S51" s="11"/>
      <c r="T51" s="11"/>
    </row>
    <row r="52" spans="1:20" s="12" customFormat="1" ht="22.5" customHeight="1">
      <c r="A52" s="173" t="s">
        <v>16</v>
      </c>
      <c r="B52" s="176">
        <f t="shared" si="2"/>
        <v>0</v>
      </c>
      <c r="C52" s="179" t="s">
        <v>5</v>
      </c>
      <c r="D52" s="177">
        <f t="shared" si="3"/>
        <v>0</v>
      </c>
      <c r="E52" s="176">
        <f>리집계표!E21</f>
        <v>0</v>
      </c>
      <c r="F52" s="179" t="s">
        <v>5</v>
      </c>
      <c r="G52" s="177">
        <f>리집계표!G21</f>
        <v>0</v>
      </c>
      <c r="H52" s="176">
        <f>리집계표!E51</f>
        <v>0</v>
      </c>
      <c r="I52" s="179" t="s">
        <v>5</v>
      </c>
      <c r="J52" s="177">
        <f>리집계표!G51</f>
        <v>0</v>
      </c>
      <c r="K52" s="176">
        <f>리집계표!E81</f>
        <v>0</v>
      </c>
      <c r="L52" s="179" t="s">
        <v>5</v>
      </c>
      <c r="M52" s="177">
        <f>리집계표!G81</f>
        <v>0</v>
      </c>
      <c r="N52" s="174"/>
      <c r="O52" s="11"/>
      <c r="P52" s="11"/>
      <c r="Q52" s="11"/>
      <c r="R52" s="11"/>
      <c r="S52" s="11"/>
      <c r="T52" s="11"/>
    </row>
    <row r="53" spans="1:20" s="12" customFormat="1" ht="22.5" customHeight="1">
      <c r="A53" s="173" t="s">
        <v>19</v>
      </c>
      <c r="B53" s="176">
        <f t="shared" si="2"/>
        <v>0</v>
      </c>
      <c r="C53" s="179" t="s">
        <v>5</v>
      </c>
      <c r="D53" s="177">
        <f t="shared" si="3"/>
        <v>0</v>
      </c>
      <c r="E53" s="176">
        <f>리집계표!E22</f>
        <v>0</v>
      </c>
      <c r="F53" s="179" t="s">
        <v>5</v>
      </c>
      <c r="G53" s="177">
        <f>리집계표!G22</f>
        <v>0</v>
      </c>
      <c r="H53" s="176">
        <f>리집계표!E52</f>
        <v>0</v>
      </c>
      <c r="I53" s="179" t="s">
        <v>5</v>
      </c>
      <c r="J53" s="177">
        <f>리집계표!G52</f>
        <v>0</v>
      </c>
      <c r="K53" s="176">
        <f>리집계표!E82</f>
        <v>0</v>
      </c>
      <c r="L53" s="179" t="s">
        <v>5</v>
      </c>
      <c r="M53" s="177">
        <f>리집계표!G82</f>
        <v>0</v>
      </c>
      <c r="N53" s="174"/>
      <c r="O53" s="11"/>
      <c r="P53" s="11"/>
      <c r="Q53" s="11"/>
      <c r="R53" s="11"/>
      <c r="S53" s="11"/>
      <c r="T53" s="11"/>
    </row>
    <row r="54" spans="1:20" s="12" customFormat="1" ht="22.5" customHeight="1">
      <c r="A54" s="173" t="s">
        <v>18</v>
      </c>
      <c r="B54" s="176">
        <f t="shared" si="2"/>
        <v>0</v>
      </c>
      <c r="C54" s="179" t="s">
        <v>5</v>
      </c>
      <c r="D54" s="177">
        <f t="shared" si="3"/>
        <v>0</v>
      </c>
      <c r="E54" s="176">
        <f>리집계표!E23</f>
        <v>0</v>
      </c>
      <c r="F54" s="179" t="s">
        <v>5</v>
      </c>
      <c r="G54" s="177">
        <f>리집계표!G23</f>
        <v>0</v>
      </c>
      <c r="H54" s="176">
        <f>리집계표!E53</f>
        <v>0</v>
      </c>
      <c r="I54" s="179" t="s">
        <v>5</v>
      </c>
      <c r="J54" s="177">
        <f>리집계표!G53</f>
        <v>0</v>
      </c>
      <c r="K54" s="176">
        <f>리집계표!E83</f>
        <v>0</v>
      </c>
      <c r="L54" s="179" t="s">
        <v>5</v>
      </c>
      <c r="M54" s="177">
        <f>리집계표!G83</f>
        <v>0</v>
      </c>
      <c r="N54" s="174"/>
      <c r="O54" s="11"/>
      <c r="P54" s="11"/>
      <c r="Q54" s="11"/>
      <c r="R54" s="11"/>
      <c r="S54" s="11"/>
      <c r="T54" s="11"/>
    </row>
    <row r="55" spans="1:20" s="12" customFormat="1" ht="22.5" customHeight="1">
      <c r="A55" s="173" t="s">
        <v>39</v>
      </c>
      <c r="B55" s="176">
        <f t="shared" si="2"/>
        <v>0</v>
      </c>
      <c r="C55" s="179" t="s">
        <v>5</v>
      </c>
      <c r="D55" s="177">
        <f t="shared" si="3"/>
        <v>0</v>
      </c>
      <c r="E55" s="176">
        <f>리집계표!E24</f>
        <v>0</v>
      </c>
      <c r="F55" s="179" t="s">
        <v>5</v>
      </c>
      <c r="G55" s="177">
        <f>리집계표!G24</f>
        <v>0</v>
      </c>
      <c r="H55" s="176">
        <f>리집계표!E54</f>
        <v>0</v>
      </c>
      <c r="I55" s="179" t="s">
        <v>5</v>
      </c>
      <c r="J55" s="177">
        <f>리집계표!G54</f>
        <v>0</v>
      </c>
      <c r="K55" s="176">
        <f>리집계표!E84</f>
        <v>0</v>
      </c>
      <c r="L55" s="179" t="s">
        <v>5</v>
      </c>
      <c r="M55" s="177">
        <f>리집계표!G84</f>
        <v>0</v>
      </c>
      <c r="N55" s="174"/>
      <c r="O55" s="11"/>
      <c r="P55" s="11"/>
      <c r="Q55" s="11"/>
      <c r="R55" s="11"/>
      <c r="S55" s="11"/>
      <c r="T55" s="11"/>
    </row>
    <row r="56" spans="1:20" s="12" customFormat="1" ht="22.5" customHeight="1">
      <c r="A56" s="173" t="s">
        <v>40</v>
      </c>
      <c r="B56" s="176">
        <f t="shared" si="2"/>
        <v>0</v>
      </c>
      <c r="C56" s="179" t="s">
        <v>5</v>
      </c>
      <c r="D56" s="177">
        <f t="shared" si="3"/>
        <v>0</v>
      </c>
      <c r="E56" s="176">
        <f>리집계표!E25</f>
        <v>0</v>
      </c>
      <c r="F56" s="179" t="s">
        <v>5</v>
      </c>
      <c r="G56" s="177">
        <f>리집계표!G25</f>
        <v>0</v>
      </c>
      <c r="H56" s="176">
        <f>리집계표!E55</f>
        <v>0</v>
      </c>
      <c r="I56" s="179" t="s">
        <v>5</v>
      </c>
      <c r="J56" s="177">
        <f>리집계표!G55</f>
        <v>0</v>
      </c>
      <c r="K56" s="176">
        <f>리집계표!E85</f>
        <v>0</v>
      </c>
      <c r="L56" s="179" t="s">
        <v>5</v>
      </c>
      <c r="M56" s="177">
        <f>리집계표!G85</f>
        <v>0</v>
      </c>
      <c r="N56" s="174"/>
      <c r="O56" s="11"/>
      <c r="P56" s="11"/>
      <c r="Q56" s="11"/>
      <c r="R56" s="11"/>
      <c r="S56" s="11"/>
      <c r="T56" s="11"/>
    </row>
    <row r="57" spans="1:20" s="12" customFormat="1" ht="22.5" customHeight="1">
      <c r="A57" s="173" t="s">
        <v>41</v>
      </c>
      <c r="B57" s="176">
        <f t="shared" si="2"/>
        <v>0</v>
      </c>
      <c r="C57" s="179" t="s">
        <v>5</v>
      </c>
      <c r="D57" s="177">
        <f t="shared" si="3"/>
        <v>0</v>
      </c>
      <c r="E57" s="176">
        <f>리집계표!E26</f>
        <v>0</v>
      </c>
      <c r="F57" s="179" t="s">
        <v>5</v>
      </c>
      <c r="G57" s="177">
        <f>리집계표!G26</f>
        <v>0</v>
      </c>
      <c r="H57" s="176">
        <f>리집계표!E56</f>
        <v>0</v>
      </c>
      <c r="I57" s="179" t="s">
        <v>5</v>
      </c>
      <c r="J57" s="177">
        <f>리집계표!G56</f>
        <v>0</v>
      </c>
      <c r="K57" s="176">
        <f>리집계표!E86</f>
        <v>0</v>
      </c>
      <c r="L57" s="179" t="s">
        <v>5</v>
      </c>
      <c r="M57" s="177">
        <f>리집계표!G86</f>
        <v>0</v>
      </c>
      <c r="N57" s="174"/>
      <c r="O57" s="11"/>
      <c r="P57" s="11"/>
      <c r="Q57" s="11"/>
      <c r="R57" s="11"/>
      <c r="S57" s="11"/>
      <c r="T57" s="11"/>
    </row>
    <row r="58" spans="1:20" s="12" customFormat="1" ht="22.5" customHeight="1">
      <c r="A58" s="173" t="s">
        <v>42</v>
      </c>
      <c r="B58" s="176">
        <f t="shared" si="2"/>
        <v>0</v>
      </c>
      <c r="C58" s="179" t="s">
        <v>5</v>
      </c>
      <c r="D58" s="177">
        <f t="shared" si="3"/>
        <v>0</v>
      </c>
      <c r="E58" s="176">
        <f>리집계표!E27</f>
        <v>0</v>
      </c>
      <c r="F58" s="179" t="s">
        <v>5</v>
      </c>
      <c r="G58" s="177">
        <f>리집계표!G27</f>
        <v>0</v>
      </c>
      <c r="H58" s="176">
        <f>리집계표!E57</f>
        <v>0</v>
      </c>
      <c r="I58" s="179" t="s">
        <v>5</v>
      </c>
      <c r="J58" s="177">
        <f>리집계표!G57</f>
        <v>0</v>
      </c>
      <c r="K58" s="176">
        <f>리집계표!E87</f>
        <v>0</v>
      </c>
      <c r="L58" s="179" t="s">
        <v>5</v>
      </c>
      <c r="M58" s="177">
        <f>리집계표!G87</f>
        <v>0</v>
      </c>
      <c r="N58" s="174"/>
      <c r="O58" s="11"/>
      <c r="P58" s="11"/>
      <c r="Q58" s="11"/>
      <c r="R58" s="11"/>
      <c r="S58" s="11"/>
      <c r="T58" s="11"/>
    </row>
    <row r="59" spans="1:20" s="12" customFormat="1" ht="22.5" customHeight="1">
      <c r="A59" s="173" t="s">
        <v>43</v>
      </c>
      <c r="B59" s="176">
        <f t="shared" si="2"/>
        <v>0</v>
      </c>
      <c r="C59" s="179" t="s">
        <v>5</v>
      </c>
      <c r="D59" s="177">
        <f t="shared" si="3"/>
        <v>0</v>
      </c>
      <c r="E59" s="176">
        <f>리집계표!E28</f>
        <v>0</v>
      </c>
      <c r="F59" s="179" t="s">
        <v>5</v>
      </c>
      <c r="G59" s="177">
        <f>리집계표!G28</f>
        <v>0</v>
      </c>
      <c r="H59" s="176">
        <f>리집계표!E58</f>
        <v>0</v>
      </c>
      <c r="I59" s="179" t="s">
        <v>5</v>
      </c>
      <c r="J59" s="177">
        <f>리집계표!G58</f>
        <v>0</v>
      </c>
      <c r="K59" s="176">
        <f>리집계표!E88</f>
        <v>0</v>
      </c>
      <c r="L59" s="179" t="s">
        <v>5</v>
      </c>
      <c r="M59" s="177">
        <f>리집계표!G88</f>
        <v>0</v>
      </c>
      <c r="N59" s="174"/>
      <c r="O59" s="11"/>
      <c r="P59" s="11"/>
      <c r="Q59" s="11"/>
      <c r="R59" s="11"/>
      <c r="S59" s="11"/>
      <c r="T59" s="11"/>
    </row>
    <row r="60" spans="1:20" s="12" customFormat="1" ht="22.5" customHeight="1">
      <c r="A60" s="173" t="s">
        <v>66</v>
      </c>
      <c r="B60" s="176">
        <f t="shared" si="2"/>
        <v>0</v>
      </c>
      <c r="C60" s="179" t="s">
        <v>5</v>
      </c>
      <c r="D60" s="177">
        <f t="shared" si="3"/>
        <v>0</v>
      </c>
      <c r="E60" s="176">
        <f>리집계표!E29</f>
        <v>0</v>
      </c>
      <c r="F60" s="179" t="s">
        <v>5</v>
      </c>
      <c r="G60" s="177">
        <f>리집계표!G29</f>
        <v>0</v>
      </c>
      <c r="H60" s="176">
        <f>리집계표!E59</f>
        <v>0</v>
      </c>
      <c r="I60" s="179" t="s">
        <v>5</v>
      </c>
      <c r="J60" s="177">
        <f>리집계표!G59</f>
        <v>0</v>
      </c>
      <c r="K60" s="176">
        <f>리집계표!E89</f>
        <v>0</v>
      </c>
      <c r="L60" s="179" t="s">
        <v>5</v>
      </c>
      <c r="M60" s="177">
        <f>리집계표!G89</f>
        <v>0</v>
      </c>
      <c r="N60" s="174"/>
      <c r="O60" s="11"/>
      <c r="P60" s="11"/>
      <c r="Q60" s="11"/>
      <c r="R60" s="11"/>
      <c r="S60" s="11"/>
      <c r="T60" s="11"/>
    </row>
    <row r="61" spans="1:20" s="12" customFormat="1" ht="22.5" customHeight="1">
      <c r="A61" s="173" t="s">
        <v>274</v>
      </c>
      <c r="B61" s="176">
        <f t="shared" si="2"/>
        <v>0</v>
      </c>
      <c r="C61" s="179" t="s">
        <v>5</v>
      </c>
      <c r="D61" s="177">
        <f t="shared" si="3"/>
        <v>0</v>
      </c>
      <c r="E61" s="176">
        <f>리집계표!E30</f>
        <v>0</v>
      </c>
      <c r="F61" s="179" t="s">
        <v>5</v>
      </c>
      <c r="G61" s="177">
        <f>리집계표!G30</f>
        <v>0</v>
      </c>
      <c r="H61" s="176">
        <f>리집계표!E60</f>
        <v>0</v>
      </c>
      <c r="I61" s="179" t="s">
        <v>5</v>
      </c>
      <c r="J61" s="177">
        <f>리집계표!G60</f>
        <v>0</v>
      </c>
      <c r="K61" s="176">
        <f>리집계표!E90</f>
        <v>0</v>
      </c>
      <c r="L61" s="179" t="s">
        <v>5</v>
      </c>
      <c r="M61" s="177">
        <f>리집계표!G90</f>
        <v>0</v>
      </c>
      <c r="N61" s="174"/>
      <c r="O61" s="11"/>
      <c r="P61" s="11"/>
      <c r="Q61" s="11"/>
      <c r="R61" s="11"/>
      <c r="S61" s="11"/>
      <c r="T61" s="11"/>
    </row>
    <row r="62" spans="1:20" s="12" customFormat="1" ht="22.5" customHeight="1">
      <c r="A62" s="173" t="s">
        <v>54</v>
      </c>
      <c r="B62" s="176">
        <f t="shared" si="2"/>
        <v>0</v>
      </c>
      <c r="C62" s="179" t="s">
        <v>5</v>
      </c>
      <c r="D62" s="177">
        <f t="shared" si="3"/>
        <v>0</v>
      </c>
      <c r="E62" s="176">
        <f>리집계표!E31</f>
        <v>0</v>
      </c>
      <c r="F62" s="179" t="s">
        <v>5</v>
      </c>
      <c r="G62" s="177">
        <f>리집계표!G31</f>
        <v>0</v>
      </c>
      <c r="H62" s="176">
        <f>리집계표!E61</f>
        <v>0</v>
      </c>
      <c r="I62" s="179" t="s">
        <v>5</v>
      </c>
      <c r="J62" s="177">
        <f>리집계표!G61</f>
        <v>0</v>
      </c>
      <c r="K62" s="176">
        <f>리집계표!E91</f>
        <v>0</v>
      </c>
      <c r="L62" s="179" t="s">
        <v>5</v>
      </c>
      <c r="M62" s="177">
        <f>리집계표!G91</f>
        <v>0</v>
      </c>
      <c r="N62" s="174"/>
      <c r="O62" s="11"/>
      <c r="P62" s="11"/>
      <c r="Q62" s="11"/>
      <c r="R62" s="11"/>
      <c r="S62" s="11"/>
      <c r="T62" s="11"/>
    </row>
    <row r="63" spans="1:14" s="7" customFormat="1" ht="60" customHeight="1">
      <c r="A63" s="36" t="s">
        <v>64</v>
      </c>
      <c r="B63" s="5"/>
      <c r="C63" s="5"/>
      <c r="D63" s="6"/>
      <c r="E63" s="6"/>
      <c r="F63" s="5"/>
      <c r="G63" s="5"/>
      <c r="H63" s="6"/>
      <c r="I63" s="5"/>
      <c r="J63" s="5"/>
      <c r="K63" s="5"/>
      <c r="L63" s="5"/>
      <c r="M63" s="5"/>
      <c r="N63" s="5"/>
    </row>
    <row r="64" spans="1:14" s="10" customFormat="1" ht="19.5" customHeight="1">
      <c r="A64" s="3"/>
      <c r="B64" s="4"/>
      <c r="C64" s="4"/>
      <c r="D64" s="4"/>
      <c r="E64" s="4"/>
      <c r="F64" s="4"/>
      <c r="G64" s="4"/>
      <c r="H64" s="4"/>
      <c r="I64" s="4"/>
      <c r="J64" s="4"/>
      <c r="K64" s="8"/>
      <c r="L64" s="178"/>
      <c r="M64" s="9"/>
      <c r="N64" s="5"/>
    </row>
    <row r="65" spans="1:14" s="10" customFormat="1" ht="9.75" customHeight="1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20" s="12" customFormat="1" ht="27.75" customHeight="1">
      <c r="A66" s="31" t="s">
        <v>2</v>
      </c>
      <c r="B66" s="32" t="s">
        <v>3</v>
      </c>
      <c r="C66" s="33"/>
      <c r="D66" s="34"/>
      <c r="E66" s="180" t="s">
        <v>75</v>
      </c>
      <c r="F66" s="33"/>
      <c r="G66" s="34"/>
      <c r="H66" s="180" t="s">
        <v>76</v>
      </c>
      <c r="I66" s="33"/>
      <c r="J66" s="34"/>
      <c r="K66" s="32" t="s">
        <v>77</v>
      </c>
      <c r="L66" s="33"/>
      <c r="M66" s="34"/>
      <c r="N66" s="31" t="s">
        <v>21</v>
      </c>
      <c r="O66" s="11"/>
      <c r="S66" s="11"/>
      <c r="T66" s="11"/>
    </row>
    <row r="67" spans="1:20" s="12" customFormat="1" ht="27.75" customHeight="1">
      <c r="A67" s="181"/>
      <c r="B67" s="184" t="s">
        <v>57</v>
      </c>
      <c r="C67" s="187" t="s">
        <v>5</v>
      </c>
      <c r="D67" s="185" t="s">
        <v>46</v>
      </c>
      <c r="E67" s="184" t="s">
        <v>57</v>
      </c>
      <c r="F67" s="187" t="s">
        <v>5</v>
      </c>
      <c r="G67" s="186" t="s">
        <v>56</v>
      </c>
      <c r="H67" s="184" t="s">
        <v>57</v>
      </c>
      <c r="I67" s="187" t="s">
        <v>5</v>
      </c>
      <c r="J67" s="186" t="s">
        <v>56</v>
      </c>
      <c r="K67" s="184" t="s">
        <v>57</v>
      </c>
      <c r="L67" s="187" t="s">
        <v>5</v>
      </c>
      <c r="M67" s="185" t="s">
        <v>46</v>
      </c>
      <c r="N67" s="182"/>
      <c r="P67" s="11"/>
      <c r="Q67" s="13" t="s">
        <v>47</v>
      </c>
      <c r="R67" s="13" t="s">
        <v>48</v>
      </c>
      <c r="S67" s="13" t="s">
        <v>49</v>
      </c>
      <c r="T67" s="13" t="s">
        <v>50</v>
      </c>
    </row>
    <row r="68" spans="1:20" s="12" customFormat="1" ht="22.5" customHeight="1">
      <c r="A68" s="173" t="s">
        <v>3</v>
      </c>
      <c r="B68" s="176">
        <f>SUM(B69:B93)</f>
        <v>51</v>
      </c>
      <c r="C68" s="179" t="s">
        <v>5</v>
      </c>
      <c r="D68" s="177">
        <f>SUM(D69:D93)</f>
        <v>24250</v>
      </c>
      <c r="E68" s="176">
        <f>SUM(E69:E93)</f>
        <v>3</v>
      </c>
      <c r="F68" s="179" t="s">
        <v>5</v>
      </c>
      <c r="G68" s="177">
        <f>SUM(G69:G93)</f>
        <v>3168</v>
      </c>
      <c r="H68" s="176">
        <f>SUM(H69:H93)</f>
        <v>44</v>
      </c>
      <c r="I68" s="179" t="s">
        <v>5</v>
      </c>
      <c r="J68" s="177">
        <f>SUM(J69:J93)</f>
        <v>20770</v>
      </c>
      <c r="K68" s="176">
        <f>SUM(K69:K93)</f>
        <v>4</v>
      </c>
      <c r="L68" s="179" t="s">
        <v>5</v>
      </c>
      <c r="M68" s="177">
        <f>SUM(M69:M93)</f>
        <v>312</v>
      </c>
      <c r="N68" s="174"/>
      <c r="O68" s="11" t="str">
        <f>IF(EXACT(Q68,T68),"맞음","틀림")</f>
        <v>틀림</v>
      </c>
      <c r="P68" s="11" t="s">
        <v>4</v>
      </c>
      <c r="Q68" s="14">
        <f>SUM(B69:B93)</f>
        <v>51</v>
      </c>
      <c r="R68" s="14">
        <f>SUM(E69:E93)</f>
        <v>3</v>
      </c>
      <c r="S68" s="14">
        <f>SUM(K69:K93)</f>
        <v>4</v>
      </c>
      <c r="T68" s="14">
        <f>K68+E68</f>
        <v>7</v>
      </c>
    </row>
    <row r="69" spans="1:20" s="12" customFormat="1" ht="22.5" customHeight="1">
      <c r="A69" s="173" t="s">
        <v>6</v>
      </c>
      <c r="B69" s="176">
        <f>E69+H69+K69</f>
        <v>13</v>
      </c>
      <c r="C69" s="179" t="s">
        <v>5</v>
      </c>
      <c r="D69" s="177">
        <f>G69+J69+M69</f>
        <v>3713</v>
      </c>
      <c r="E69" s="176">
        <f>리집계표!H7</f>
        <v>1</v>
      </c>
      <c r="F69" s="179" t="s">
        <v>5</v>
      </c>
      <c r="G69" s="177">
        <f>리집계표!J7</f>
        <v>284</v>
      </c>
      <c r="H69" s="176">
        <f>리집계표!H37</f>
        <v>12</v>
      </c>
      <c r="I69" s="179" t="s">
        <v>5</v>
      </c>
      <c r="J69" s="177">
        <f>리집계표!J37</f>
        <v>3429</v>
      </c>
      <c r="K69" s="176">
        <f>리집계표!H67</f>
        <v>0</v>
      </c>
      <c r="L69" s="179" t="s">
        <v>5</v>
      </c>
      <c r="M69" s="177">
        <f>리집계표!J67</f>
        <v>0</v>
      </c>
      <c r="N69" s="174"/>
      <c r="O69" s="11" t="str">
        <f>IF(EXACT(Q69,T69),"맞음","틀림")</f>
        <v>틀림</v>
      </c>
      <c r="P69" s="11" t="s">
        <v>51</v>
      </c>
      <c r="Q69" s="14">
        <f>SUM(D69:D93)</f>
        <v>24250</v>
      </c>
      <c r="R69" s="14">
        <f>SUM(G69:G93)</f>
        <v>3168</v>
      </c>
      <c r="S69" s="14">
        <f>SUM(M69:M93)</f>
        <v>312</v>
      </c>
      <c r="T69" s="14">
        <f>G68+M68</f>
        <v>3480</v>
      </c>
    </row>
    <row r="70" spans="1:19" s="12" customFormat="1" ht="22.5" customHeight="1">
      <c r="A70" s="173" t="s">
        <v>7</v>
      </c>
      <c r="B70" s="176">
        <f aca="true" t="shared" si="4" ref="B70:B93">E70+H70+K70</f>
        <v>9</v>
      </c>
      <c r="C70" s="179" t="s">
        <v>5</v>
      </c>
      <c r="D70" s="177">
        <f aca="true" t="shared" si="5" ref="D70:D93">G70+J70+M70</f>
        <v>3031</v>
      </c>
      <c r="E70" s="176">
        <f>리집계표!H8</f>
        <v>0</v>
      </c>
      <c r="F70" s="179" t="s">
        <v>5</v>
      </c>
      <c r="G70" s="177">
        <f>리집계표!J8</f>
        <v>0</v>
      </c>
      <c r="H70" s="176">
        <f>리집계표!H38</f>
        <v>9</v>
      </c>
      <c r="I70" s="179" t="s">
        <v>5</v>
      </c>
      <c r="J70" s="177">
        <f>리집계표!J38</f>
        <v>3031</v>
      </c>
      <c r="K70" s="176">
        <f>리집계표!H68</f>
        <v>0</v>
      </c>
      <c r="L70" s="179" t="s">
        <v>5</v>
      </c>
      <c r="M70" s="177">
        <f>리집계표!J68</f>
        <v>0</v>
      </c>
      <c r="N70" s="174"/>
      <c r="Q70" s="11"/>
      <c r="S70" s="11"/>
    </row>
    <row r="71" spans="1:19" s="12" customFormat="1" ht="22.5" customHeight="1">
      <c r="A71" s="175" t="s">
        <v>8</v>
      </c>
      <c r="B71" s="176">
        <f t="shared" si="4"/>
        <v>13</v>
      </c>
      <c r="C71" s="179" t="s">
        <v>5</v>
      </c>
      <c r="D71" s="177">
        <f t="shared" si="5"/>
        <v>11685</v>
      </c>
      <c r="E71" s="176">
        <f>리집계표!H9</f>
        <v>1</v>
      </c>
      <c r="F71" s="179" t="s">
        <v>5</v>
      </c>
      <c r="G71" s="177">
        <f>리집계표!J9</f>
        <v>2858</v>
      </c>
      <c r="H71" s="176">
        <f>리집계표!H39</f>
        <v>12</v>
      </c>
      <c r="I71" s="179" t="s">
        <v>5</v>
      </c>
      <c r="J71" s="177">
        <f>리집계표!J39</f>
        <v>8827</v>
      </c>
      <c r="K71" s="176">
        <f>리집계표!H69</f>
        <v>0</v>
      </c>
      <c r="L71" s="179" t="s">
        <v>5</v>
      </c>
      <c r="M71" s="177">
        <f>리집계표!J69</f>
        <v>0</v>
      </c>
      <c r="N71" s="174"/>
      <c r="Q71" s="11"/>
      <c r="S71" s="11"/>
    </row>
    <row r="72" spans="1:20" s="12" customFormat="1" ht="22.5" customHeight="1">
      <c r="A72" s="173" t="s">
        <v>9</v>
      </c>
      <c r="B72" s="176">
        <f t="shared" si="4"/>
        <v>3</v>
      </c>
      <c r="C72" s="179" t="s">
        <v>5</v>
      </c>
      <c r="D72" s="177">
        <f t="shared" si="5"/>
        <v>354</v>
      </c>
      <c r="E72" s="176">
        <f>리집계표!H10</f>
        <v>0</v>
      </c>
      <c r="F72" s="179" t="s">
        <v>5</v>
      </c>
      <c r="G72" s="177">
        <f>리집계표!J10</f>
        <v>0</v>
      </c>
      <c r="H72" s="176">
        <f>리집계표!H40</f>
        <v>3</v>
      </c>
      <c r="I72" s="179" t="s">
        <v>5</v>
      </c>
      <c r="J72" s="177">
        <f>리집계표!J40</f>
        <v>354</v>
      </c>
      <c r="K72" s="176">
        <f>리집계표!H70</f>
        <v>0</v>
      </c>
      <c r="L72" s="179" t="s">
        <v>5</v>
      </c>
      <c r="M72" s="177">
        <f>리집계표!J70</f>
        <v>0</v>
      </c>
      <c r="N72" s="174"/>
      <c r="O72" s="11"/>
      <c r="P72" s="11"/>
      <c r="Q72" s="11"/>
      <c r="R72" s="11"/>
      <c r="S72" s="11"/>
      <c r="T72" s="11"/>
    </row>
    <row r="73" spans="1:20" s="12" customFormat="1" ht="22.5" customHeight="1">
      <c r="A73" s="173" t="s">
        <v>10</v>
      </c>
      <c r="B73" s="176">
        <f t="shared" si="4"/>
        <v>9</v>
      </c>
      <c r="C73" s="179" t="s">
        <v>5</v>
      </c>
      <c r="D73" s="177">
        <f t="shared" si="5"/>
        <v>1041</v>
      </c>
      <c r="E73" s="176">
        <f>리집계표!H11</f>
        <v>1</v>
      </c>
      <c r="F73" s="179" t="s">
        <v>5</v>
      </c>
      <c r="G73" s="177">
        <f>리집계표!J11</f>
        <v>26</v>
      </c>
      <c r="H73" s="176">
        <f>리집계표!H41</f>
        <v>4</v>
      </c>
      <c r="I73" s="179" t="s">
        <v>5</v>
      </c>
      <c r="J73" s="177">
        <f>리집계표!J41</f>
        <v>703</v>
      </c>
      <c r="K73" s="176">
        <f>리집계표!H71</f>
        <v>4</v>
      </c>
      <c r="L73" s="179" t="s">
        <v>5</v>
      </c>
      <c r="M73" s="177">
        <f>리집계표!J71</f>
        <v>312</v>
      </c>
      <c r="N73" s="174"/>
      <c r="O73" s="11"/>
      <c r="P73" s="11"/>
      <c r="Q73" s="11"/>
      <c r="R73" s="11"/>
      <c r="S73" s="11"/>
      <c r="T73" s="11"/>
    </row>
    <row r="74" spans="1:20" s="12" customFormat="1" ht="22.5" customHeight="1">
      <c r="A74" s="173" t="s">
        <v>12</v>
      </c>
      <c r="B74" s="176">
        <f t="shared" si="4"/>
        <v>0</v>
      </c>
      <c r="C74" s="179" t="s">
        <v>5</v>
      </c>
      <c r="D74" s="177">
        <f t="shared" si="5"/>
        <v>0</v>
      </c>
      <c r="E74" s="176">
        <f>리집계표!H12</f>
        <v>0</v>
      </c>
      <c r="F74" s="179" t="s">
        <v>5</v>
      </c>
      <c r="G74" s="177">
        <f>리집계표!J12</f>
        <v>0</v>
      </c>
      <c r="H74" s="176">
        <f>리집계표!H42</f>
        <v>0</v>
      </c>
      <c r="I74" s="179" t="s">
        <v>5</v>
      </c>
      <c r="J74" s="177">
        <f>리집계표!J42</f>
        <v>0</v>
      </c>
      <c r="K74" s="176">
        <f>리집계표!H72</f>
        <v>0</v>
      </c>
      <c r="L74" s="179" t="s">
        <v>5</v>
      </c>
      <c r="M74" s="177">
        <f>리집계표!J72</f>
        <v>0</v>
      </c>
      <c r="N74" s="174"/>
      <c r="O74" s="11"/>
      <c r="P74" s="11"/>
      <c r="Q74" s="11"/>
      <c r="R74" s="11"/>
      <c r="S74" s="11"/>
      <c r="T74" s="11"/>
    </row>
    <row r="75" spans="1:20" s="12" customFormat="1" ht="22.5" customHeight="1">
      <c r="A75" s="173" t="s">
        <v>11</v>
      </c>
      <c r="B75" s="176">
        <f t="shared" si="4"/>
        <v>0</v>
      </c>
      <c r="C75" s="179" t="s">
        <v>5</v>
      </c>
      <c r="D75" s="177">
        <f t="shared" si="5"/>
        <v>0</v>
      </c>
      <c r="E75" s="176">
        <f>리집계표!H13</f>
        <v>0</v>
      </c>
      <c r="F75" s="179" t="s">
        <v>5</v>
      </c>
      <c r="G75" s="177">
        <f>리집계표!J13</f>
        <v>0</v>
      </c>
      <c r="H75" s="176">
        <f>리집계표!H43</f>
        <v>0</v>
      </c>
      <c r="I75" s="179" t="s">
        <v>5</v>
      </c>
      <c r="J75" s="177">
        <f>리집계표!J43</f>
        <v>0</v>
      </c>
      <c r="K75" s="176">
        <f>리집계표!H73</f>
        <v>0</v>
      </c>
      <c r="L75" s="179" t="s">
        <v>5</v>
      </c>
      <c r="M75" s="177">
        <f>리집계표!J73</f>
        <v>0</v>
      </c>
      <c r="N75" s="174"/>
      <c r="O75" s="11"/>
      <c r="P75" s="11"/>
      <c r="Q75" s="11"/>
      <c r="R75" s="11"/>
      <c r="S75" s="11"/>
      <c r="T75" s="11"/>
    </row>
    <row r="76" spans="1:20" s="12" customFormat="1" ht="22.5" customHeight="1">
      <c r="A76" s="173" t="s">
        <v>14</v>
      </c>
      <c r="B76" s="176">
        <f t="shared" si="4"/>
        <v>0</v>
      </c>
      <c r="C76" s="179" t="s">
        <v>5</v>
      </c>
      <c r="D76" s="177">
        <f t="shared" si="5"/>
        <v>0</v>
      </c>
      <c r="E76" s="176">
        <f>리집계표!H14</f>
        <v>0</v>
      </c>
      <c r="F76" s="179" t="s">
        <v>5</v>
      </c>
      <c r="G76" s="177">
        <f>리집계표!J14</f>
        <v>0</v>
      </c>
      <c r="H76" s="176">
        <f>리집계표!H44</f>
        <v>0</v>
      </c>
      <c r="I76" s="179" t="s">
        <v>5</v>
      </c>
      <c r="J76" s="177">
        <f>리집계표!J44</f>
        <v>0</v>
      </c>
      <c r="K76" s="176">
        <f>리집계표!H74</f>
        <v>0</v>
      </c>
      <c r="L76" s="179" t="s">
        <v>5</v>
      </c>
      <c r="M76" s="177">
        <f>리집계표!J74</f>
        <v>0</v>
      </c>
      <c r="N76" s="174"/>
      <c r="O76" s="11"/>
      <c r="P76" s="11"/>
      <c r="Q76" s="11"/>
      <c r="R76" s="11"/>
      <c r="S76" s="11"/>
      <c r="T76" s="11"/>
    </row>
    <row r="77" spans="1:20" s="12" customFormat="1" ht="22.5" customHeight="1">
      <c r="A77" s="173" t="s">
        <v>13</v>
      </c>
      <c r="B77" s="176">
        <f t="shared" si="4"/>
        <v>0</v>
      </c>
      <c r="C77" s="179" t="s">
        <v>5</v>
      </c>
      <c r="D77" s="177">
        <f t="shared" si="5"/>
        <v>0</v>
      </c>
      <c r="E77" s="176">
        <f>리집계표!H15</f>
        <v>0</v>
      </c>
      <c r="F77" s="179" t="s">
        <v>5</v>
      </c>
      <c r="G77" s="177">
        <f>리집계표!J15</f>
        <v>0</v>
      </c>
      <c r="H77" s="176">
        <f>리집계표!H45</f>
        <v>0</v>
      </c>
      <c r="I77" s="179" t="s">
        <v>5</v>
      </c>
      <c r="J77" s="177">
        <f>리집계표!J45</f>
        <v>0</v>
      </c>
      <c r="K77" s="176">
        <f>리집계표!H75</f>
        <v>0</v>
      </c>
      <c r="L77" s="179" t="s">
        <v>5</v>
      </c>
      <c r="M77" s="177">
        <f>리집계표!J75</f>
        <v>0</v>
      </c>
      <c r="N77" s="174"/>
      <c r="O77" s="11"/>
      <c r="P77" s="11"/>
      <c r="Q77" s="11"/>
      <c r="R77" s="11"/>
      <c r="S77" s="11"/>
      <c r="T77" s="11"/>
    </row>
    <row r="78" spans="1:20" s="12" customFormat="1" ht="22.5" customHeight="1">
      <c r="A78" s="173" t="s">
        <v>15</v>
      </c>
      <c r="B78" s="176">
        <f t="shared" si="4"/>
        <v>0</v>
      </c>
      <c r="C78" s="179" t="s">
        <v>5</v>
      </c>
      <c r="D78" s="177">
        <f t="shared" si="5"/>
        <v>0</v>
      </c>
      <c r="E78" s="176">
        <f>리집계표!H16</f>
        <v>0</v>
      </c>
      <c r="F78" s="179" t="s">
        <v>5</v>
      </c>
      <c r="G78" s="177">
        <f>리집계표!J16</f>
        <v>0</v>
      </c>
      <c r="H78" s="176">
        <f>리집계표!H46</f>
        <v>0</v>
      </c>
      <c r="I78" s="179" t="s">
        <v>5</v>
      </c>
      <c r="J78" s="177">
        <f>리집계표!J46</f>
        <v>0</v>
      </c>
      <c r="K78" s="176">
        <f>리집계표!H76</f>
        <v>0</v>
      </c>
      <c r="L78" s="179" t="s">
        <v>5</v>
      </c>
      <c r="M78" s="177">
        <f>리집계표!J76</f>
        <v>0</v>
      </c>
      <c r="N78" s="174"/>
      <c r="O78" s="11"/>
      <c r="P78" s="11"/>
      <c r="Q78" s="11"/>
      <c r="R78" s="11"/>
      <c r="S78" s="11"/>
      <c r="T78" s="11"/>
    </row>
    <row r="79" spans="1:20" s="12" customFormat="1" ht="22.5" customHeight="1">
      <c r="A79" s="173" t="s">
        <v>20</v>
      </c>
      <c r="B79" s="176">
        <f t="shared" si="4"/>
        <v>0</v>
      </c>
      <c r="C79" s="179" t="s">
        <v>5</v>
      </c>
      <c r="D79" s="177">
        <f t="shared" si="5"/>
        <v>0</v>
      </c>
      <c r="E79" s="176">
        <f>리집계표!H17</f>
        <v>0</v>
      </c>
      <c r="F79" s="179" t="s">
        <v>5</v>
      </c>
      <c r="G79" s="177">
        <f>리집계표!J17</f>
        <v>0</v>
      </c>
      <c r="H79" s="176">
        <f>리집계표!H47</f>
        <v>0</v>
      </c>
      <c r="I79" s="179" t="s">
        <v>5</v>
      </c>
      <c r="J79" s="177">
        <f>리집계표!J47</f>
        <v>0</v>
      </c>
      <c r="K79" s="176">
        <f>리집계표!H77</f>
        <v>0</v>
      </c>
      <c r="L79" s="179" t="s">
        <v>5</v>
      </c>
      <c r="M79" s="177">
        <f>리집계표!J77</f>
        <v>0</v>
      </c>
      <c r="N79" s="174"/>
      <c r="O79" s="11"/>
      <c r="P79" s="11"/>
      <c r="Q79" s="11"/>
      <c r="R79" s="11"/>
      <c r="S79" s="11"/>
      <c r="T79" s="11"/>
    </row>
    <row r="80" spans="1:20" s="12" customFormat="1" ht="22.5" customHeight="1">
      <c r="A80" s="173" t="s">
        <v>17</v>
      </c>
      <c r="B80" s="176">
        <f t="shared" si="4"/>
        <v>0</v>
      </c>
      <c r="C80" s="179" t="s">
        <v>5</v>
      </c>
      <c r="D80" s="177">
        <f t="shared" si="5"/>
        <v>0</v>
      </c>
      <c r="E80" s="176">
        <f>리집계표!H18</f>
        <v>0</v>
      </c>
      <c r="F80" s="179" t="s">
        <v>5</v>
      </c>
      <c r="G80" s="177">
        <f>리집계표!J18</f>
        <v>0</v>
      </c>
      <c r="H80" s="176">
        <f>리집계표!H48</f>
        <v>0</v>
      </c>
      <c r="I80" s="179" t="s">
        <v>5</v>
      </c>
      <c r="J80" s="177">
        <f>리집계표!J48</f>
        <v>0</v>
      </c>
      <c r="K80" s="176">
        <f>리집계표!H78</f>
        <v>0</v>
      </c>
      <c r="L80" s="179" t="s">
        <v>5</v>
      </c>
      <c r="M80" s="177">
        <f>리집계표!J78</f>
        <v>0</v>
      </c>
      <c r="N80" s="174"/>
      <c r="O80" s="11"/>
      <c r="P80" s="11"/>
      <c r="Q80" s="11"/>
      <c r="R80" s="11"/>
      <c r="S80" s="11"/>
      <c r="T80" s="11"/>
    </row>
    <row r="81" spans="1:20" s="12" customFormat="1" ht="22.5" customHeight="1">
      <c r="A81" s="173" t="s">
        <v>22</v>
      </c>
      <c r="B81" s="176">
        <f t="shared" si="4"/>
        <v>0</v>
      </c>
      <c r="C81" s="179" t="s">
        <v>5</v>
      </c>
      <c r="D81" s="177">
        <f t="shared" si="5"/>
        <v>0</v>
      </c>
      <c r="E81" s="176">
        <f>리집계표!H19</f>
        <v>0</v>
      </c>
      <c r="F81" s="179" t="s">
        <v>5</v>
      </c>
      <c r="G81" s="177">
        <f>리집계표!J19</f>
        <v>0</v>
      </c>
      <c r="H81" s="176">
        <f>리집계표!H49</f>
        <v>0</v>
      </c>
      <c r="I81" s="179" t="s">
        <v>5</v>
      </c>
      <c r="J81" s="177">
        <f>리집계표!J49</f>
        <v>0</v>
      </c>
      <c r="K81" s="176">
        <f>리집계표!H79</f>
        <v>0</v>
      </c>
      <c r="L81" s="179" t="s">
        <v>5</v>
      </c>
      <c r="M81" s="177">
        <f>리집계표!J79</f>
        <v>0</v>
      </c>
      <c r="N81" s="174"/>
      <c r="O81" s="11"/>
      <c r="P81" s="11"/>
      <c r="Q81" s="11"/>
      <c r="R81" s="11"/>
      <c r="S81" s="11"/>
      <c r="T81" s="11"/>
    </row>
    <row r="82" spans="1:20" s="12" customFormat="1" ht="22.5" customHeight="1">
      <c r="A82" s="173" t="s">
        <v>38</v>
      </c>
      <c r="B82" s="176">
        <f t="shared" si="4"/>
        <v>0</v>
      </c>
      <c r="C82" s="179" t="s">
        <v>5</v>
      </c>
      <c r="D82" s="177">
        <f t="shared" si="5"/>
        <v>0</v>
      </c>
      <c r="E82" s="176">
        <f>리집계표!H20</f>
        <v>0</v>
      </c>
      <c r="F82" s="179" t="s">
        <v>5</v>
      </c>
      <c r="G82" s="177">
        <f>리집계표!J20</f>
        <v>0</v>
      </c>
      <c r="H82" s="176">
        <f>리집계표!H50</f>
        <v>0</v>
      </c>
      <c r="I82" s="179" t="s">
        <v>5</v>
      </c>
      <c r="J82" s="177">
        <f>리집계표!J50</f>
        <v>0</v>
      </c>
      <c r="K82" s="176">
        <f>리집계표!H80</f>
        <v>0</v>
      </c>
      <c r="L82" s="179" t="s">
        <v>5</v>
      </c>
      <c r="M82" s="177">
        <f>리집계표!J80</f>
        <v>0</v>
      </c>
      <c r="N82" s="174"/>
      <c r="O82" s="11"/>
      <c r="P82" s="11"/>
      <c r="Q82" s="11"/>
      <c r="R82" s="11"/>
      <c r="S82" s="11"/>
      <c r="T82" s="11"/>
    </row>
    <row r="83" spans="1:20" s="12" customFormat="1" ht="22.5" customHeight="1">
      <c r="A83" s="173" t="s">
        <v>16</v>
      </c>
      <c r="B83" s="176">
        <f t="shared" si="4"/>
        <v>3</v>
      </c>
      <c r="C83" s="179" t="s">
        <v>5</v>
      </c>
      <c r="D83" s="177">
        <f t="shared" si="5"/>
        <v>4352</v>
      </c>
      <c r="E83" s="176">
        <f>리집계표!H21</f>
        <v>0</v>
      </c>
      <c r="F83" s="179" t="s">
        <v>5</v>
      </c>
      <c r="G83" s="177">
        <f>리집계표!J21</f>
        <v>0</v>
      </c>
      <c r="H83" s="176">
        <f>리집계표!H51</f>
        <v>3</v>
      </c>
      <c r="I83" s="179" t="s">
        <v>5</v>
      </c>
      <c r="J83" s="177">
        <f>리집계표!J51</f>
        <v>4352</v>
      </c>
      <c r="K83" s="176">
        <f>리집계표!H81</f>
        <v>0</v>
      </c>
      <c r="L83" s="179" t="s">
        <v>5</v>
      </c>
      <c r="M83" s="177">
        <f>리집계표!J81</f>
        <v>0</v>
      </c>
      <c r="N83" s="174"/>
      <c r="O83" s="11"/>
      <c r="P83" s="11"/>
      <c r="Q83" s="11"/>
      <c r="R83" s="11"/>
      <c r="S83" s="11"/>
      <c r="T83" s="11"/>
    </row>
    <row r="84" spans="1:20" s="12" customFormat="1" ht="22.5" customHeight="1">
      <c r="A84" s="173" t="s">
        <v>19</v>
      </c>
      <c r="B84" s="176">
        <f t="shared" si="4"/>
        <v>0</v>
      </c>
      <c r="C84" s="179" t="s">
        <v>5</v>
      </c>
      <c r="D84" s="177">
        <f t="shared" si="5"/>
        <v>0</v>
      </c>
      <c r="E84" s="176">
        <f>리집계표!H22</f>
        <v>0</v>
      </c>
      <c r="F84" s="179" t="s">
        <v>5</v>
      </c>
      <c r="G84" s="177">
        <f>리집계표!J22</f>
        <v>0</v>
      </c>
      <c r="H84" s="176">
        <f>리집계표!H52</f>
        <v>0</v>
      </c>
      <c r="I84" s="179" t="s">
        <v>5</v>
      </c>
      <c r="J84" s="177">
        <f>리집계표!J52</f>
        <v>0</v>
      </c>
      <c r="K84" s="176">
        <f>리집계표!H82</f>
        <v>0</v>
      </c>
      <c r="L84" s="179" t="s">
        <v>5</v>
      </c>
      <c r="M84" s="177">
        <f>리집계표!J82</f>
        <v>0</v>
      </c>
      <c r="N84" s="174"/>
      <c r="O84" s="11"/>
      <c r="P84" s="11"/>
      <c r="Q84" s="11"/>
      <c r="R84" s="11"/>
      <c r="S84" s="11"/>
      <c r="T84" s="11"/>
    </row>
    <row r="85" spans="1:20" s="12" customFormat="1" ht="22.5" customHeight="1">
      <c r="A85" s="173" t="s">
        <v>18</v>
      </c>
      <c r="B85" s="176">
        <f t="shared" si="4"/>
        <v>0</v>
      </c>
      <c r="C85" s="179" t="s">
        <v>5</v>
      </c>
      <c r="D85" s="177">
        <f t="shared" si="5"/>
        <v>0</v>
      </c>
      <c r="E85" s="176">
        <f>리집계표!H23</f>
        <v>0</v>
      </c>
      <c r="F85" s="179" t="s">
        <v>5</v>
      </c>
      <c r="G85" s="177">
        <f>리집계표!J23</f>
        <v>0</v>
      </c>
      <c r="H85" s="176">
        <f>리집계표!H53</f>
        <v>0</v>
      </c>
      <c r="I85" s="179" t="s">
        <v>5</v>
      </c>
      <c r="J85" s="177">
        <f>리집계표!J53</f>
        <v>0</v>
      </c>
      <c r="K85" s="176">
        <f>리집계표!H83</f>
        <v>0</v>
      </c>
      <c r="L85" s="179" t="s">
        <v>5</v>
      </c>
      <c r="M85" s="177">
        <f>리집계표!J83</f>
        <v>0</v>
      </c>
      <c r="N85" s="174"/>
      <c r="O85" s="11"/>
      <c r="P85" s="11"/>
      <c r="Q85" s="11"/>
      <c r="R85" s="11"/>
      <c r="S85" s="11"/>
      <c r="T85" s="11"/>
    </row>
    <row r="86" spans="1:20" s="12" customFormat="1" ht="22.5" customHeight="1">
      <c r="A86" s="173" t="s">
        <v>39</v>
      </c>
      <c r="B86" s="176">
        <f t="shared" si="4"/>
        <v>0</v>
      </c>
      <c r="C86" s="179" t="s">
        <v>5</v>
      </c>
      <c r="D86" s="177">
        <f t="shared" si="5"/>
        <v>0</v>
      </c>
      <c r="E86" s="176">
        <f>리집계표!H24</f>
        <v>0</v>
      </c>
      <c r="F86" s="179" t="s">
        <v>5</v>
      </c>
      <c r="G86" s="177">
        <f>리집계표!J24</f>
        <v>0</v>
      </c>
      <c r="H86" s="176">
        <f>리집계표!H54</f>
        <v>0</v>
      </c>
      <c r="I86" s="179" t="s">
        <v>5</v>
      </c>
      <c r="J86" s="177">
        <f>리집계표!J54</f>
        <v>0</v>
      </c>
      <c r="K86" s="176">
        <f>리집계표!H84</f>
        <v>0</v>
      </c>
      <c r="L86" s="179" t="s">
        <v>5</v>
      </c>
      <c r="M86" s="177">
        <f>리집계표!J84</f>
        <v>0</v>
      </c>
      <c r="N86" s="174"/>
      <c r="O86" s="11"/>
      <c r="P86" s="11"/>
      <c r="Q86" s="11"/>
      <c r="R86" s="11"/>
      <c r="S86" s="11"/>
      <c r="T86" s="11"/>
    </row>
    <row r="87" spans="1:20" s="12" customFormat="1" ht="22.5" customHeight="1">
      <c r="A87" s="173" t="s">
        <v>40</v>
      </c>
      <c r="B87" s="176">
        <f t="shared" si="4"/>
        <v>0</v>
      </c>
      <c r="C87" s="179" t="s">
        <v>5</v>
      </c>
      <c r="D87" s="177">
        <f t="shared" si="5"/>
        <v>0</v>
      </c>
      <c r="E87" s="176">
        <f>리집계표!H25</f>
        <v>0</v>
      </c>
      <c r="F87" s="179" t="s">
        <v>5</v>
      </c>
      <c r="G87" s="177">
        <f>리집계표!J25</f>
        <v>0</v>
      </c>
      <c r="H87" s="176">
        <f>리집계표!H55</f>
        <v>0</v>
      </c>
      <c r="I87" s="179" t="s">
        <v>5</v>
      </c>
      <c r="J87" s="177">
        <f>리집계표!J55</f>
        <v>0</v>
      </c>
      <c r="K87" s="176">
        <f>리집계표!H85</f>
        <v>0</v>
      </c>
      <c r="L87" s="179" t="s">
        <v>5</v>
      </c>
      <c r="M87" s="177">
        <f>리집계표!J85</f>
        <v>0</v>
      </c>
      <c r="N87" s="174"/>
      <c r="O87" s="11"/>
      <c r="P87" s="11"/>
      <c r="Q87" s="11"/>
      <c r="R87" s="11"/>
      <c r="S87" s="11"/>
      <c r="T87" s="11"/>
    </row>
    <row r="88" spans="1:20" s="12" customFormat="1" ht="22.5" customHeight="1">
      <c r="A88" s="173" t="s">
        <v>41</v>
      </c>
      <c r="B88" s="176">
        <f t="shared" si="4"/>
        <v>0</v>
      </c>
      <c r="C88" s="179" t="s">
        <v>5</v>
      </c>
      <c r="D88" s="177">
        <f t="shared" si="5"/>
        <v>0</v>
      </c>
      <c r="E88" s="176">
        <f>리집계표!H26</f>
        <v>0</v>
      </c>
      <c r="F88" s="179" t="s">
        <v>5</v>
      </c>
      <c r="G88" s="177">
        <f>리집계표!J26</f>
        <v>0</v>
      </c>
      <c r="H88" s="176">
        <f>리집계표!H56</f>
        <v>0</v>
      </c>
      <c r="I88" s="179" t="s">
        <v>5</v>
      </c>
      <c r="J88" s="177">
        <f>리집계표!J56</f>
        <v>0</v>
      </c>
      <c r="K88" s="176">
        <f>리집계표!H86</f>
        <v>0</v>
      </c>
      <c r="L88" s="179" t="s">
        <v>5</v>
      </c>
      <c r="M88" s="177">
        <f>리집계표!J86</f>
        <v>0</v>
      </c>
      <c r="N88" s="174"/>
      <c r="O88" s="11"/>
      <c r="P88" s="11"/>
      <c r="Q88" s="11"/>
      <c r="R88" s="11"/>
      <c r="S88" s="11"/>
      <c r="T88" s="11"/>
    </row>
    <row r="89" spans="1:20" s="12" customFormat="1" ht="22.5" customHeight="1">
      <c r="A89" s="173" t="s">
        <v>42</v>
      </c>
      <c r="B89" s="176">
        <f t="shared" si="4"/>
        <v>0</v>
      </c>
      <c r="C89" s="179" t="s">
        <v>5</v>
      </c>
      <c r="D89" s="177">
        <f t="shared" si="5"/>
        <v>0</v>
      </c>
      <c r="E89" s="176">
        <f>리집계표!H27</f>
        <v>0</v>
      </c>
      <c r="F89" s="179" t="s">
        <v>5</v>
      </c>
      <c r="G89" s="177">
        <f>리집계표!J27</f>
        <v>0</v>
      </c>
      <c r="H89" s="176">
        <f>리집계표!H57</f>
        <v>0</v>
      </c>
      <c r="I89" s="179" t="s">
        <v>5</v>
      </c>
      <c r="J89" s="177">
        <f>리집계표!J57</f>
        <v>0</v>
      </c>
      <c r="K89" s="176">
        <f>리집계표!H87</f>
        <v>0</v>
      </c>
      <c r="L89" s="179" t="s">
        <v>5</v>
      </c>
      <c r="M89" s="177">
        <f>리집계표!J87</f>
        <v>0</v>
      </c>
      <c r="N89" s="174"/>
      <c r="O89" s="11"/>
      <c r="P89" s="11"/>
      <c r="Q89" s="11"/>
      <c r="R89" s="11"/>
      <c r="S89" s="11"/>
      <c r="T89" s="11"/>
    </row>
    <row r="90" spans="1:20" s="12" customFormat="1" ht="22.5" customHeight="1">
      <c r="A90" s="173" t="s">
        <v>43</v>
      </c>
      <c r="B90" s="176">
        <f t="shared" si="4"/>
        <v>0</v>
      </c>
      <c r="C90" s="179" t="s">
        <v>5</v>
      </c>
      <c r="D90" s="177">
        <f t="shared" si="5"/>
        <v>0</v>
      </c>
      <c r="E90" s="176">
        <f>리집계표!H28</f>
        <v>0</v>
      </c>
      <c r="F90" s="179" t="s">
        <v>5</v>
      </c>
      <c r="G90" s="177">
        <f>리집계표!J28</f>
        <v>0</v>
      </c>
      <c r="H90" s="176">
        <f>리집계표!H58</f>
        <v>0</v>
      </c>
      <c r="I90" s="179" t="s">
        <v>5</v>
      </c>
      <c r="J90" s="177">
        <f>리집계표!J58</f>
        <v>0</v>
      </c>
      <c r="K90" s="176">
        <f>리집계표!H88</f>
        <v>0</v>
      </c>
      <c r="L90" s="179" t="s">
        <v>5</v>
      </c>
      <c r="M90" s="177">
        <f>리집계표!J88</f>
        <v>0</v>
      </c>
      <c r="N90" s="174"/>
      <c r="O90" s="11"/>
      <c r="P90" s="11"/>
      <c r="Q90" s="11"/>
      <c r="R90" s="11"/>
      <c r="S90" s="11"/>
      <c r="T90" s="11"/>
    </row>
    <row r="91" spans="1:20" s="12" customFormat="1" ht="22.5" customHeight="1">
      <c r="A91" s="173" t="s">
        <v>66</v>
      </c>
      <c r="B91" s="176">
        <f t="shared" si="4"/>
        <v>0</v>
      </c>
      <c r="C91" s="179" t="s">
        <v>5</v>
      </c>
      <c r="D91" s="177">
        <f t="shared" si="5"/>
        <v>0</v>
      </c>
      <c r="E91" s="176">
        <f>리집계표!H29</f>
        <v>0</v>
      </c>
      <c r="F91" s="179" t="s">
        <v>5</v>
      </c>
      <c r="G91" s="177">
        <f>리집계표!J29</f>
        <v>0</v>
      </c>
      <c r="H91" s="176">
        <f>리집계표!H59</f>
        <v>0</v>
      </c>
      <c r="I91" s="179" t="s">
        <v>5</v>
      </c>
      <c r="J91" s="177">
        <f>리집계표!J59</f>
        <v>0</v>
      </c>
      <c r="K91" s="176">
        <f>리집계표!H89</f>
        <v>0</v>
      </c>
      <c r="L91" s="179" t="s">
        <v>5</v>
      </c>
      <c r="M91" s="177">
        <f>리집계표!J89</f>
        <v>0</v>
      </c>
      <c r="N91" s="174"/>
      <c r="O91" s="11"/>
      <c r="P91" s="11"/>
      <c r="Q91" s="11"/>
      <c r="R91" s="11"/>
      <c r="S91" s="11"/>
      <c r="T91" s="11"/>
    </row>
    <row r="92" spans="1:20" s="12" customFormat="1" ht="22.5" customHeight="1">
      <c r="A92" s="173" t="s">
        <v>274</v>
      </c>
      <c r="B92" s="176">
        <f t="shared" si="4"/>
        <v>1</v>
      </c>
      <c r="C92" s="179" t="s">
        <v>5</v>
      </c>
      <c r="D92" s="177">
        <f t="shared" si="5"/>
        <v>74</v>
      </c>
      <c r="E92" s="176">
        <f>리집계표!H30</f>
        <v>0</v>
      </c>
      <c r="F92" s="179" t="s">
        <v>5</v>
      </c>
      <c r="G92" s="177">
        <f>리집계표!J30</f>
        <v>0</v>
      </c>
      <c r="H92" s="176">
        <f>리집계표!H60</f>
        <v>1</v>
      </c>
      <c r="I92" s="179" t="s">
        <v>5</v>
      </c>
      <c r="J92" s="177">
        <f>리집계표!J60</f>
        <v>74</v>
      </c>
      <c r="K92" s="176">
        <f>리집계표!H90</f>
        <v>0</v>
      </c>
      <c r="L92" s="179" t="s">
        <v>5</v>
      </c>
      <c r="M92" s="177">
        <f>리집계표!J90</f>
        <v>0</v>
      </c>
      <c r="N92" s="174"/>
      <c r="O92" s="11"/>
      <c r="P92" s="11"/>
      <c r="Q92" s="11"/>
      <c r="R92" s="11"/>
      <c r="S92" s="11"/>
      <c r="T92" s="11"/>
    </row>
    <row r="93" spans="1:20" s="12" customFormat="1" ht="22.5" customHeight="1">
      <c r="A93" s="173" t="s">
        <v>54</v>
      </c>
      <c r="B93" s="176">
        <f t="shared" si="4"/>
        <v>0</v>
      </c>
      <c r="C93" s="179" t="s">
        <v>5</v>
      </c>
      <c r="D93" s="177">
        <f t="shared" si="5"/>
        <v>0</v>
      </c>
      <c r="E93" s="176">
        <f>리집계표!H31</f>
        <v>0</v>
      </c>
      <c r="F93" s="179" t="s">
        <v>5</v>
      </c>
      <c r="G93" s="177">
        <f>리집계표!J31</f>
        <v>0</v>
      </c>
      <c r="H93" s="176">
        <f>리집계표!H61</f>
        <v>0</v>
      </c>
      <c r="I93" s="179" t="s">
        <v>5</v>
      </c>
      <c r="J93" s="177">
        <f>리집계표!J61</f>
        <v>0</v>
      </c>
      <c r="K93" s="176">
        <f>리집계표!H91</f>
        <v>0</v>
      </c>
      <c r="L93" s="179" t="s">
        <v>5</v>
      </c>
      <c r="M93" s="177">
        <f>리집계표!J91</f>
        <v>0</v>
      </c>
      <c r="N93" s="174"/>
      <c r="O93" s="11"/>
      <c r="P93" s="11"/>
      <c r="Q93" s="11"/>
      <c r="R93" s="11"/>
      <c r="S93" s="11"/>
      <c r="T93" s="11"/>
    </row>
    <row r="94" spans="1:14" s="7" customFormat="1" ht="60" customHeight="1">
      <c r="A94" s="36" t="s">
        <v>65</v>
      </c>
      <c r="B94" s="5"/>
      <c r="C94" s="5"/>
      <c r="D94" s="6"/>
      <c r="E94" s="6"/>
      <c r="F94" s="5"/>
      <c r="G94" s="5"/>
      <c r="H94" s="6"/>
      <c r="I94" s="5"/>
      <c r="J94" s="5"/>
      <c r="K94" s="5"/>
      <c r="L94" s="5"/>
      <c r="M94" s="5"/>
      <c r="N94" s="5"/>
    </row>
    <row r="95" spans="1:14" s="10" customFormat="1" ht="19.5" customHeight="1">
      <c r="A95" s="3"/>
      <c r="B95" s="4"/>
      <c r="C95" s="4"/>
      <c r="D95" s="4"/>
      <c r="E95" s="4"/>
      <c r="F95" s="4"/>
      <c r="G95" s="4"/>
      <c r="H95" s="4"/>
      <c r="I95" s="4"/>
      <c r="J95" s="4"/>
      <c r="K95" s="8"/>
      <c r="L95" s="178"/>
      <c r="M95" s="9"/>
      <c r="N95" s="5"/>
    </row>
    <row r="96" spans="1:14" s="10" customFormat="1" ht="9.75" customHeight="1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20" s="12" customFormat="1" ht="27.75" customHeight="1">
      <c r="A97" s="31" t="s">
        <v>2</v>
      </c>
      <c r="B97" s="32" t="s">
        <v>3</v>
      </c>
      <c r="C97" s="33"/>
      <c r="D97" s="34"/>
      <c r="E97" s="180" t="s">
        <v>75</v>
      </c>
      <c r="F97" s="33"/>
      <c r="G97" s="34"/>
      <c r="H97" s="180" t="s">
        <v>76</v>
      </c>
      <c r="I97" s="33"/>
      <c r="J97" s="34"/>
      <c r="K97" s="32" t="s">
        <v>77</v>
      </c>
      <c r="L97" s="33"/>
      <c r="M97" s="34"/>
      <c r="N97" s="31" t="s">
        <v>21</v>
      </c>
      <c r="O97" s="11"/>
      <c r="S97" s="11"/>
      <c r="T97" s="11"/>
    </row>
    <row r="98" spans="1:20" s="12" customFormat="1" ht="27.75" customHeight="1">
      <c r="A98" s="181"/>
      <c r="B98" s="184" t="s">
        <v>57</v>
      </c>
      <c r="C98" s="187" t="s">
        <v>5</v>
      </c>
      <c r="D98" s="185" t="s">
        <v>46</v>
      </c>
      <c r="E98" s="184" t="s">
        <v>57</v>
      </c>
      <c r="F98" s="187" t="s">
        <v>5</v>
      </c>
      <c r="G98" s="186" t="s">
        <v>56</v>
      </c>
      <c r="H98" s="184" t="s">
        <v>57</v>
      </c>
      <c r="I98" s="187" t="s">
        <v>5</v>
      </c>
      <c r="J98" s="186" t="s">
        <v>56</v>
      </c>
      <c r="K98" s="184" t="s">
        <v>57</v>
      </c>
      <c r="L98" s="187" t="s">
        <v>5</v>
      </c>
      <c r="M98" s="185" t="s">
        <v>46</v>
      </c>
      <c r="N98" s="182"/>
      <c r="P98" s="11"/>
      <c r="Q98" s="13" t="s">
        <v>47</v>
      </c>
      <c r="R98" s="13" t="s">
        <v>48</v>
      </c>
      <c r="S98" s="13" t="s">
        <v>49</v>
      </c>
      <c r="T98" s="13" t="s">
        <v>50</v>
      </c>
    </row>
    <row r="99" spans="1:20" s="12" customFormat="1" ht="22.5" customHeight="1">
      <c r="A99" s="173" t="s">
        <v>3</v>
      </c>
      <c r="B99" s="176">
        <f>SUM(B100:B124)</f>
        <v>179</v>
      </c>
      <c r="C99" s="179" t="s">
        <v>5</v>
      </c>
      <c r="D99" s="177">
        <f>SUM(D100:D124)</f>
        <v>91120</v>
      </c>
      <c r="E99" s="176">
        <f>SUM(E100:E124)</f>
        <v>3</v>
      </c>
      <c r="F99" s="179" t="s">
        <v>5</v>
      </c>
      <c r="G99" s="177">
        <f>SUM(G100:G124)</f>
        <v>2363</v>
      </c>
      <c r="H99" s="176">
        <f>SUM(H100:H124)</f>
        <v>146</v>
      </c>
      <c r="I99" s="179" t="s">
        <v>5</v>
      </c>
      <c r="J99" s="177">
        <f>SUM(J100:J124)</f>
        <v>77821</v>
      </c>
      <c r="K99" s="176">
        <f>SUM(K100:K124)</f>
        <v>30</v>
      </c>
      <c r="L99" s="179" t="s">
        <v>5</v>
      </c>
      <c r="M99" s="177">
        <f>SUM(M100:M124)</f>
        <v>10936</v>
      </c>
      <c r="N99" s="174"/>
      <c r="O99" s="11" t="str">
        <f>IF(EXACT(Q99,T99),"맞음","틀림")</f>
        <v>틀림</v>
      </c>
      <c r="P99" s="11" t="s">
        <v>4</v>
      </c>
      <c r="Q99" s="14">
        <f>SUM(B100:B124)</f>
        <v>179</v>
      </c>
      <c r="R99" s="14">
        <f>SUM(E100:E124)</f>
        <v>3</v>
      </c>
      <c r="S99" s="14">
        <f>SUM(K100:K124)</f>
        <v>30</v>
      </c>
      <c r="T99" s="14">
        <f>K99+E99</f>
        <v>33</v>
      </c>
    </row>
    <row r="100" spans="1:20" s="12" customFormat="1" ht="22.5" customHeight="1">
      <c r="A100" s="173" t="s">
        <v>6</v>
      </c>
      <c r="B100" s="176">
        <f>E100+H100+K100</f>
        <v>51</v>
      </c>
      <c r="C100" s="179" t="s">
        <v>5</v>
      </c>
      <c r="D100" s="177">
        <f>G100+J100+M100</f>
        <v>25587</v>
      </c>
      <c r="E100" s="176">
        <f>리집계표!K7</f>
        <v>1</v>
      </c>
      <c r="F100" s="179" t="s">
        <v>5</v>
      </c>
      <c r="G100" s="177">
        <f>리집계표!M7</f>
        <v>33</v>
      </c>
      <c r="H100" s="176">
        <f>리집계표!K37</f>
        <v>41</v>
      </c>
      <c r="I100" s="179" t="s">
        <v>5</v>
      </c>
      <c r="J100" s="177">
        <f>리집계표!M37</f>
        <v>21947</v>
      </c>
      <c r="K100" s="176">
        <f>리집계표!K67</f>
        <v>9</v>
      </c>
      <c r="L100" s="179" t="s">
        <v>5</v>
      </c>
      <c r="M100" s="177">
        <f>리집계표!M67</f>
        <v>3607</v>
      </c>
      <c r="N100" s="174"/>
      <c r="O100" s="11" t="str">
        <f>IF(EXACT(Q100,T100),"맞음","틀림")</f>
        <v>틀림</v>
      </c>
      <c r="P100" s="11" t="s">
        <v>51</v>
      </c>
      <c r="Q100" s="14">
        <f>SUM(D100:D124)</f>
        <v>91120</v>
      </c>
      <c r="R100" s="14">
        <f>SUM(G100:G124)</f>
        <v>2363</v>
      </c>
      <c r="S100" s="14">
        <f>SUM(M100:M124)</f>
        <v>10936</v>
      </c>
      <c r="T100" s="14">
        <f>G99+M99</f>
        <v>13299</v>
      </c>
    </row>
    <row r="101" spans="1:19" s="12" customFormat="1" ht="22.5" customHeight="1">
      <c r="A101" s="173" t="s">
        <v>7</v>
      </c>
      <c r="B101" s="176">
        <f aca="true" t="shared" si="6" ref="B101:B124">E101+H101+K101</f>
        <v>43</v>
      </c>
      <c r="C101" s="179" t="s">
        <v>5</v>
      </c>
      <c r="D101" s="177">
        <f aca="true" t="shared" si="7" ref="D101:D124">G101+J101+M101</f>
        <v>12237</v>
      </c>
      <c r="E101" s="176">
        <f>리집계표!K8</f>
        <v>0</v>
      </c>
      <c r="F101" s="179" t="s">
        <v>5</v>
      </c>
      <c r="G101" s="177">
        <f>리집계표!M8</f>
        <v>0</v>
      </c>
      <c r="H101" s="176">
        <f>리집계표!K38</f>
        <v>34</v>
      </c>
      <c r="I101" s="179" t="s">
        <v>5</v>
      </c>
      <c r="J101" s="177">
        <f>리집계표!M38</f>
        <v>10146</v>
      </c>
      <c r="K101" s="176">
        <f>리집계표!K68</f>
        <v>9</v>
      </c>
      <c r="L101" s="179" t="s">
        <v>5</v>
      </c>
      <c r="M101" s="177">
        <f>리집계표!M68</f>
        <v>2091</v>
      </c>
      <c r="N101" s="174"/>
      <c r="Q101" s="11"/>
      <c r="S101" s="11"/>
    </row>
    <row r="102" spans="1:19" s="12" customFormat="1" ht="22.5" customHeight="1">
      <c r="A102" s="175" t="s">
        <v>8</v>
      </c>
      <c r="B102" s="176">
        <f t="shared" si="6"/>
        <v>59</v>
      </c>
      <c r="C102" s="179" t="s">
        <v>5</v>
      </c>
      <c r="D102" s="177">
        <f t="shared" si="7"/>
        <v>44964</v>
      </c>
      <c r="E102" s="176">
        <f>리집계표!K9</f>
        <v>1</v>
      </c>
      <c r="F102" s="179" t="s">
        <v>5</v>
      </c>
      <c r="G102" s="177">
        <f>리집계표!M9</f>
        <v>2315</v>
      </c>
      <c r="H102" s="176">
        <f>리집계표!K39</f>
        <v>56</v>
      </c>
      <c r="I102" s="179" t="s">
        <v>5</v>
      </c>
      <c r="J102" s="177">
        <f>리집계표!M39</f>
        <v>41846</v>
      </c>
      <c r="K102" s="176">
        <f>리집계표!K69</f>
        <v>2</v>
      </c>
      <c r="L102" s="179" t="s">
        <v>5</v>
      </c>
      <c r="M102" s="177">
        <f>리집계표!M69</f>
        <v>803</v>
      </c>
      <c r="N102" s="174"/>
      <c r="Q102" s="11"/>
      <c r="S102" s="11"/>
    </row>
    <row r="103" spans="1:20" s="12" customFormat="1" ht="22.5" customHeight="1">
      <c r="A103" s="173" t="s">
        <v>9</v>
      </c>
      <c r="B103" s="176">
        <f t="shared" si="6"/>
        <v>6</v>
      </c>
      <c r="C103" s="179" t="s">
        <v>5</v>
      </c>
      <c r="D103" s="177">
        <f t="shared" si="7"/>
        <v>1148</v>
      </c>
      <c r="E103" s="176">
        <f>리집계표!K10</f>
        <v>0</v>
      </c>
      <c r="F103" s="179" t="s">
        <v>5</v>
      </c>
      <c r="G103" s="177">
        <f>리집계표!M10</f>
        <v>0</v>
      </c>
      <c r="H103" s="176">
        <f>리집계표!K40</f>
        <v>5</v>
      </c>
      <c r="I103" s="179" t="s">
        <v>5</v>
      </c>
      <c r="J103" s="177">
        <f>리집계표!M40</f>
        <v>1081</v>
      </c>
      <c r="K103" s="176">
        <f>리집계표!K70</f>
        <v>1</v>
      </c>
      <c r="L103" s="179" t="s">
        <v>5</v>
      </c>
      <c r="M103" s="177">
        <f>리집계표!M70</f>
        <v>67</v>
      </c>
      <c r="N103" s="174"/>
      <c r="O103" s="11"/>
      <c r="P103" s="11"/>
      <c r="Q103" s="11"/>
      <c r="R103" s="11"/>
      <c r="S103" s="11"/>
      <c r="T103" s="11"/>
    </row>
    <row r="104" spans="1:20" s="12" customFormat="1" ht="22.5" customHeight="1">
      <c r="A104" s="173" t="s">
        <v>10</v>
      </c>
      <c r="B104" s="176">
        <f t="shared" si="6"/>
        <v>9</v>
      </c>
      <c r="C104" s="179" t="s">
        <v>5</v>
      </c>
      <c r="D104" s="177">
        <f t="shared" si="7"/>
        <v>830</v>
      </c>
      <c r="E104" s="176">
        <f>리집계표!K11</f>
        <v>1</v>
      </c>
      <c r="F104" s="179" t="s">
        <v>5</v>
      </c>
      <c r="G104" s="177">
        <f>리집계표!M11</f>
        <v>15</v>
      </c>
      <c r="H104" s="176">
        <f>리집계표!K41</f>
        <v>3</v>
      </c>
      <c r="I104" s="179" t="s">
        <v>5</v>
      </c>
      <c r="J104" s="177">
        <f>리집계표!M41</f>
        <v>500</v>
      </c>
      <c r="K104" s="176">
        <f>리집계표!K71</f>
        <v>5</v>
      </c>
      <c r="L104" s="179" t="s">
        <v>5</v>
      </c>
      <c r="M104" s="177">
        <f>리집계표!M71</f>
        <v>315</v>
      </c>
      <c r="N104" s="174"/>
      <c r="O104" s="11"/>
      <c r="P104" s="11"/>
      <c r="Q104" s="11"/>
      <c r="R104" s="11"/>
      <c r="S104" s="11"/>
      <c r="T104" s="11"/>
    </row>
    <row r="105" spans="1:20" s="12" customFormat="1" ht="22.5" customHeight="1">
      <c r="A105" s="173" t="s">
        <v>12</v>
      </c>
      <c r="B105" s="176">
        <f t="shared" si="6"/>
        <v>0</v>
      </c>
      <c r="C105" s="179" t="s">
        <v>5</v>
      </c>
      <c r="D105" s="177">
        <f t="shared" si="7"/>
        <v>0</v>
      </c>
      <c r="E105" s="176">
        <f>리집계표!K12</f>
        <v>0</v>
      </c>
      <c r="F105" s="179" t="s">
        <v>5</v>
      </c>
      <c r="G105" s="177">
        <f>리집계표!M12</f>
        <v>0</v>
      </c>
      <c r="H105" s="176">
        <f>리집계표!K42</f>
        <v>0</v>
      </c>
      <c r="I105" s="179" t="s">
        <v>5</v>
      </c>
      <c r="J105" s="177">
        <f>리집계표!M42</f>
        <v>0</v>
      </c>
      <c r="K105" s="176">
        <f>리집계표!K72</f>
        <v>0</v>
      </c>
      <c r="L105" s="179" t="s">
        <v>5</v>
      </c>
      <c r="M105" s="177">
        <f>리집계표!M72</f>
        <v>0</v>
      </c>
      <c r="N105" s="174"/>
      <c r="O105" s="11"/>
      <c r="P105" s="11"/>
      <c r="Q105" s="11"/>
      <c r="R105" s="11"/>
      <c r="S105" s="11"/>
      <c r="T105" s="11"/>
    </row>
    <row r="106" spans="1:20" s="12" customFormat="1" ht="22.5" customHeight="1">
      <c r="A106" s="173" t="s">
        <v>11</v>
      </c>
      <c r="B106" s="176">
        <f t="shared" si="6"/>
        <v>0</v>
      </c>
      <c r="C106" s="179" t="s">
        <v>5</v>
      </c>
      <c r="D106" s="177">
        <f t="shared" si="7"/>
        <v>0</v>
      </c>
      <c r="E106" s="176">
        <f>리집계표!K13</f>
        <v>0</v>
      </c>
      <c r="F106" s="179" t="s">
        <v>5</v>
      </c>
      <c r="G106" s="177">
        <f>리집계표!M13</f>
        <v>0</v>
      </c>
      <c r="H106" s="176">
        <f>리집계표!K43</f>
        <v>0</v>
      </c>
      <c r="I106" s="179" t="s">
        <v>5</v>
      </c>
      <c r="J106" s="177">
        <f>리집계표!M43</f>
        <v>0</v>
      </c>
      <c r="K106" s="176">
        <f>리집계표!K73</f>
        <v>0</v>
      </c>
      <c r="L106" s="179" t="s">
        <v>5</v>
      </c>
      <c r="M106" s="177">
        <f>리집계표!M73</f>
        <v>0</v>
      </c>
      <c r="N106" s="174"/>
      <c r="O106" s="11"/>
      <c r="P106" s="11"/>
      <c r="Q106" s="11"/>
      <c r="R106" s="11"/>
      <c r="S106" s="11"/>
      <c r="T106" s="11"/>
    </row>
    <row r="107" spans="1:20" s="12" customFormat="1" ht="22.5" customHeight="1">
      <c r="A107" s="173" t="s">
        <v>14</v>
      </c>
      <c r="B107" s="176">
        <f t="shared" si="6"/>
        <v>0</v>
      </c>
      <c r="C107" s="179" t="s">
        <v>5</v>
      </c>
      <c r="D107" s="177">
        <f t="shared" si="7"/>
        <v>0</v>
      </c>
      <c r="E107" s="176">
        <f>리집계표!K14</f>
        <v>0</v>
      </c>
      <c r="F107" s="179" t="s">
        <v>5</v>
      </c>
      <c r="G107" s="177">
        <f>리집계표!M14</f>
        <v>0</v>
      </c>
      <c r="H107" s="176">
        <f>리집계표!K44</f>
        <v>0</v>
      </c>
      <c r="I107" s="179" t="s">
        <v>5</v>
      </c>
      <c r="J107" s="177">
        <f>리집계표!M44</f>
        <v>0</v>
      </c>
      <c r="K107" s="176">
        <f>리집계표!K74</f>
        <v>0</v>
      </c>
      <c r="L107" s="179" t="s">
        <v>5</v>
      </c>
      <c r="M107" s="177">
        <f>리집계표!M74</f>
        <v>0</v>
      </c>
      <c r="N107" s="174"/>
      <c r="O107" s="11"/>
      <c r="P107" s="11"/>
      <c r="Q107" s="11"/>
      <c r="R107" s="11"/>
      <c r="S107" s="11"/>
      <c r="T107" s="11"/>
    </row>
    <row r="108" spans="1:20" s="12" customFormat="1" ht="22.5" customHeight="1">
      <c r="A108" s="173" t="s">
        <v>13</v>
      </c>
      <c r="B108" s="176">
        <f t="shared" si="6"/>
        <v>0</v>
      </c>
      <c r="C108" s="179" t="s">
        <v>5</v>
      </c>
      <c r="D108" s="177">
        <f t="shared" si="7"/>
        <v>0</v>
      </c>
      <c r="E108" s="176">
        <f>리집계표!K15</f>
        <v>0</v>
      </c>
      <c r="F108" s="179" t="s">
        <v>5</v>
      </c>
      <c r="G108" s="177">
        <f>리집계표!M15</f>
        <v>0</v>
      </c>
      <c r="H108" s="176">
        <f>리집계표!K45</f>
        <v>0</v>
      </c>
      <c r="I108" s="179" t="s">
        <v>5</v>
      </c>
      <c r="J108" s="177">
        <f>리집계표!M45</f>
        <v>0</v>
      </c>
      <c r="K108" s="176">
        <f>리집계표!K75</f>
        <v>0</v>
      </c>
      <c r="L108" s="179" t="s">
        <v>5</v>
      </c>
      <c r="M108" s="177">
        <f>리집계표!M75</f>
        <v>0</v>
      </c>
      <c r="N108" s="174"/>
      <c r="O108" s="11"/>
      <c r="P108" s="11"/>
      <c r="Q108" s="11"/>
      <c r="R108" s="11"/>
      <c r="S108" s="11"/>
      <c r="T108" s="11"/>
    </row>
    <row r="109" spans="1:20" s="12" customFormat="1" ht="22.5" customHeight="1">
      <c r="A109" s="173" t="s">
        <v>15</v>
      </c>
      <c r="B109" s="176">
        <f t="shared" si="6"/>
        <v>0</v>
      </c>
      <c r="C109" s="179" t="s">
        <v>5</v>
      </c>
      <c r="D109" s="177">
        <f t="shared" si="7"/>
        <v>0</v>
      </c>
      <c r="E109" s="176">
        <f>리집계표!K16</f>
        <v>0</v>
      </c>
      <c r="F109" s="179" t="s">
        <v>5</v>
      </c>
      <c r="G109" s="177">
        <f>리집계표!M16</f>
        <v>0</v>
      </c>
      <c r="H109" s="176">
        <f>리집계표!K46</f>
        <v>0</v>
      </c>
      <c r="I109" s="179" t="s">
        <v>5</v>
      </c>
      <c r="J109" s="177">
        <f>리집계표!M46</f>
        <v>0</v>
      </c>
      <c r="K109" s="176">
        <f>리집계표!K76</f>
        <v>0</v>
      </c>
      <c r="L109" s="179" t="s">
        <v>5</v>
      </c>
      <c r="M109" s="177">
        <f>리집계표!M76</f>
        <v>0</v>
      </c>
      <c r="N109" s="174"/>
      <c r="O109" s="11"/>
      <c r="P109" s="11"/>
      <c r="Q109" s="11"/>
      <c r="R109" s="11"/>
      <c r="S109" s="11"/>
      <c r="T109" s="11"/>
    </row>
    <row r="110" spans="1:20" s="12" customFormat="1" ht="22.5" customHeight="1">
      <c r="A110" s="173" t="s">
        <v>20</v>
      </c>
      <c r="B110" s="176">
        <f t="shared" si="6"/>
        <v>1</v>
      </c>
      <c r="C110" s="179" t="s">
        <v>5</v>
      </c>
      <c r="D110" s="177">
        <f t="shared" si="7"/>
        <v>20</v>
      </c>
      <c r="E110" s="176">
        <f>리집계표!K17</f>
        <v>0</v>
      </c>
      <c r="F110" s="179" t="s">
        <v>5</v>
      </c>
      <c r="G110" s="177">
        <f>리집계표!M17</f>
        <v>0</v>
      </c>
      <c r="H110" s="176">
        <f>리집계표!K47</f>
        <v>1</v>
      </c>
      <c r="I110" s="179" t="s">
        <v>5</v>
      </c>
      <c r="J110" s="177">
        <f>리집계표!M47</f>
        <v>20</v>
      </c>
      <c r="K110" s="176">
        <f>리집계표!K77</f>
        <v>0</v>
      </c>
      <c r="L110" s="179" t="s">
        <v>5</v>
      </c>
      <c r="M110" s="177">
        <f>리집계표!M77</f>
        <v>0</v>
      </c>
      <c r="N110" s="174"/>
      <c r="O110" s="11"/>
      <c r="P110" s="11"/>
      <c r="Q110" s="11"/>
      <c r="R110" s="11"/>
      <c r="S110" s="11"/>
      <c r="T110" s="11"/>
    </row>
    <row r="111" spans="1:20" s="12" customFormat="1" ht="22.5" customHeight="1">
      <c r="A111" s="173" t="s">
        <v>17</v>
      </c>
      <c r="B111" s="176">
        <f t="shared" si="6"/>
        <v>3</v>
      </c>
      <c r="C111" s="179" t="s">
        <v>5</v>
      </c>
      <c r="D111" s="177">
        <f t="shared" si="7"/>
        <v>794</v>
      </c>
      <c r="E111" s="176">
        <f>리집계표!K18</f>
        <v>0</v>
      </c>
      <c r="F111" s="179" t="s">
        <v>5</v>
      </c>
      <c r="G111" s="177">
        <f>리집계표!M18</f>
        <v>0</v>
      </c>
      <c r="H111" s="176">
        <f>리집계표!K48</f>
        <v>3</v>
      </c>
      <c r="I111" s="179" t="s">
        <v>5</v>
      </c>
      <c r="J111" s="177">
        <f>리집계표!M48</f>
        <v>794</v>
      </c>
      <c r="K111" s="176">
        <f>리집계표!K78</f>
        <v>0</v>
      </c>
      <c r="L111" s="179" t="s">
        <v>5</v>
      </c>
      <c r="M111" s="177">
        <f>리집계표!M78</f>
        <v>0</v>
      </c>
      <c r="N111" s="174"/>
      <c r="O111" s="11"/>
      <c r="P111" s="11"/>
      <c r="Q111" s="11"/>
      <c r="R111" s="11"/>
      <c r="S111" s="11"/>
      <c r="T111" s="11"/>
    </row>
    <row r="112" spans="1:20" s="12" customFormat="1" ht="22.5" customHeight="1">
      <c r="A112" s="173" t="s">
        <v>22</v>
      </c>
      <c r="B112" s="176">
        <f t="shared" si="6"/>
        <v>0</v>
      </c>
      <c r="C112" s="179" t="s">
        <v>5</v>
      </c>
      <c r="D112" s="177">
        <f t="shared" si="7"/>
        <v>0</v>
      </c>
      <c r="E112" s="176">
        <f>리집계표!K19</f>
        <v>0</v>
      </c>
      <c r="F112" s="179" t="s">
        <v>5</v>
      </c>
      <c r="G112" s="177">
        <f>리집계표!M19</f>
        <v>0</v>
      </c>
      <c r="H112" s="176">
        <f>리집계표!K49</f>
        <v>0</v>
      </c>
      <c r="I112" s="179" t="s">
        <v>5</v>
      </c>
      <c r="J112" s="177">
        <f>리집계표!M49</f>
        <v>0</v>
      </c>
      <c r="K112" s="176">
        <f>리집계표!K79</f>
        <v>0</v>
      </c>
      <c r="L112" s="179" t="s">
        <v>5</v>
      </c>
      <c r="M112" s="177">
        <f>리집계표!M79</f>
        <v>0</v>
      </c>
      <c r="N112" s="174"/>
      <c r="O112" s="11"/>
      <c r="P112" s="11"/>
      <c r="Q112" s="11"/>
      <c r="R112" s="11"/>
      <c r="S112" s="11"/>
      <c r="T112" s="11"/>
    </row>
    <row r="113" spans="1:20" s="12" customFormat="1" ht="22.5" customHeight="1">
      <c r="A113" s="173" t="s">
        <v>38</v>
      </c>
      <c r="B113" s="176">
        <f t="shared" si="6"/>
        <v>0</v>
      </c>
      <c r="C113" s="179" t="s">
        <v>5</v>
      </c>
      <c r="D113" s="177">
        <f t="shared" si="7"/>
        <v>0</v>
      </c>
      <c r="E113" s="176">
        <f>리집계표!K20</f>
        <v>0</v>
      </c>
      <c r="F113" s="179" t="s">
        <v>5</v>
      </c>
      <c r="G113" s="177">
        <f>리집계표!M20</f>
        <v>0</v>
      </c>
      <c r="H113" s="176">
        <f>리집계표!K50</f>
        <v>0</v>
      </c>
      <c r="I113" s="179" t="s">
        <v>5</v>
      </c>
      <c r="J113" s="177">
        <f>리집계표!M50</f>
        <v>0</v>
      </c>
      <c r="K113" s="176">
        <f>리집계표!K80</f>
        <v>0</v>
      </c>
      <c r="L113" s="179" t="s">
        <v>5</v>
      </c>
      <c r="M113" s="177">
        <f>리집계표!M80</f>
        <v>0</v>
      </c>
      <c r="N113" s="174"/>
      <c r="O113" s="11"/>
      <c r="P113" s="11"/>
      <c r="Q113" s="11"/>
      <c r="R113" s="11"/>
      <c r="S113" s="11"/>
      <c r="T113" s="11"/>
    </row>
    <row r="114" spans="1:20" s="12" customFormat="1" ht="22.5" customHeight="1">
      <c r="A114" s="173" t="s">
        <v>16</v>
      </c>
      <c r="B114" s="176">
        <f t="shared" si="6"/>
        <v>1</v>
      </c>
      <c r="C114" s="179" t="s">
        <v>5</v>
      </c>
      <c r="D114" s="177">
        <f t="shared" si="7"/>
        <v>38</v>
      </c>
      <c r="E114" s="176">
        <f>리집계표!K21</f>
        <v>0</v>
      </c>
      <c r="F114" s="179" t="s">
        <v>5</v>
      </c>
      <c r="G114" s="177">
        <f>리집계표!M21</f>
        <v>0</v>
      </c>
      <c r="H114" s="176">
        <f>리집계표!K51</f>
        <v>0</v>
      </c>
      <c r="I114" s="179" t="s">
        <v>5</v>
      </c>
      <c r="J114" s="177">
        <f>리집계표!M51</f>
        <v>0</v>
      </c>
      <c r="K114" s="176">
        <f>리집계표!K81</f>
        <v>1</v>
      </c>
      <c r="L114" s="179" t="s">
        <v>5</v>
      </c>
      <c r="M114" s="177">
        <f>리집계표!M81</f>
        <v>38</v>
      </c>
      <c r="N114" s="174"/>
      <c r="O114" s="11"/>
      <c r="P114" s="11"/>
      <c r="Q114" s="11"/>
      <c r="R114" s="11"/>
      <c r="S114" s="11"/>
      <c r="T114" s="11"/>
    </row>
    <row r="115" spans="1:20" s="12" customFormat="1" ht="22.5" customHeight="1">
      <c r="A115" s="173" t="s">
        <v>19</v>
      </c>
      <c r="B115" s="176">
        <f t="shared" si="6"/>
        <v>0</v>
      </c>
      <c r="C115" s="179" t="s">
        <v>5</v>
      </c>
      <c r="D115" s="177">
        <f t="shared" si="7"/>
        <v>0</v>
      </c>
      <c r="E115" s="176">
        <f>리집계표!K22</f>
        <v>0</v>
      </c>
      <c r="F115" s="179" t="s">
        <v>5</v>
      </c>
      <c r="G115" s="177">
        <f>리집계표!M22</f>
        <v>0</v>
      </c>
      <c r="H115" s="176">
        <f>리집계표!K52</f>
        <v>0</v>
      </c>
      <c r="I115" s="179" t="s">
        <v>5</v>
      </c>
      <c r="J115" s="177">
        <f>리집계표!M52</f>
        <v>0</v>
      </c>
      <c r="K115" s="176">
        <f>리집계표!K82</f>
        <v>0</v>
      </c>
      <c r="L115" s="179" t="s">
        <v>5</v>
      </c>
      <c r="M115" s="177">
        <f>리집계표!M82</f>
        <v>0</v>
      </c>
      <c r="N115" s="174"/>
      <c r="O115" s="11"/>
      <c r="P115" s="11"/>
      <c r="Q115" s="11"/>
      <c r="R115" s="11"/>
      <c r="S115" s="11"/>
      <c r="T115" s="11"/>
    </row>
    <row r="116" spans="1:20" s="12" customFormat="1" ht="22.5" customHeight="1">
      <c r="A116" s="173" t="s">
        <v>18</v>
      </c>
      <c r="B116" s="176">
        <f t="shared" si="6"/>
        <v>3</v>
      </c>
      <c r="C116" s="179" t="s">
        <v>5</v>
      </c>
      <c r="D116" s="177">
        <f t="shared" si="7"/>
        <v>1271</v>
      </c>
      <c r="E116" s="176">
        <f>리집계표!K23</f>
        <v>0</v>
      </c>
      <c r="F116" s="179" t="s">
        <v>5</v>
      </c>
      <c r="G116" s="177">
        <f>리집계표!M23</f>
        <v>0</v>
      </c>
      <c r="H116" s="176">
        <f>리집계표!K53</f>
        <v>2</v>
      </c>
      <c r="I116" s="179" t="s">
        <v>5</v>
      </c>
      <c r="J116" s="177">
        <f>리집계표!M53</f>
        <v>242</v>
      </c>
      <c r="K116" s="176">
        <f>리집계표!K83</f>
        <v>1</v>
      </c>
      <c r="L116" s="179" t="s">
        <v>5</v>
      </c>
      <c r="M116" s="177">
        <f>리집계표!M83</f>
        <v>1029</v>
      </c>
      <c r="N116" s="174"/>
      <c r="O116" s="11"/>
      <c r="P116" s="11"/>
      <c r="Q116" s="11"/>
      <c r="R116" s="11"/>
      <c r="S116" s="11"/>
      <c r="T116" s="11"/>
    </row>
    <row r="117" spans="1:20" s="12" customFormat="1" ht="22.5" customHeight="1">
      <c r="A117" s="173" t="s">
        <v>39</v>
      </c>
      <c r="B117" s="176">
        <f t="shared" si="6"/>
        <v>0</v>
      </c>
      <c r="C117" s="179" t="s">
        <v>5</v>
      </c>
      <c r="D117" s="177">
        <f t="shared" si="7"/>
        <v>0</v>
      </c>
      <c r="E117" s="176">
        <f>리집계표!K24</f>
        <v>0</v>
      </c>
      <c r="F117" s="179" t="s">
        <v>5</v>
      </c>
      <c r="G117" s="177">
        <f>리집계표!M24</f>
        <v>0</v>
      </c>
      <c r="H117" s="176">
        <f>리집계표!K54</f>
        <v>0</v>
      </c>
      <c r="I117" s="179" t="s">
        <v>5</v>
      </c>
      <c r="J117" s="177">
        <f>리집계표!M54</f>
        <v>0</v>
      </c>
      <c r="K117" s="176">
        <f>리집계표!K84</f>
        <v>0</v>
      </c>
      <c r="L117" s="179" t="s">
        <v>5</v>
      </c>
      <c r="M117" s="177">
        <f>리집계표!M84</f>
        <v>0</v>
      </c>
      <c r="N117" s="174"/>
      <c r="O117" s="11"/>
      <c r="P117" s="11"/>
      <c r="Q117" s="11"/>
      <c r="R117" s="11"/>
      <c r="S117" s="11"/>
      <c r="T117" s="11"/>
    </row>
    <row r="118" spans="1:20" s="12" customFormat="1" ht="22.5" customHeight="1">
      <c r="A118" s="173" t="s">
        <v>40</v>
      </c>
      <c r="B118" s="176">
        <f t="shared" si="6"/>
        <v>0</v>
      </c>
      <c r="C118" s="179" t="s">
        <v>5</v>
      </c>
      <c r="D118" s="177">
        <f t="shared" si="7"/>
        <v>0</v>
      </c>
      <c r="E118" s="176">
        <f>리집계표!K25</f>
        <v>0</v>
      </c>
      <c r="F118" s="179" t="s">
        <v>5</v>
      </c>
      <c r="G118" s="177">
        <f>리집계표!M25</f>
        <v>0</v>
      </c>
      <c r="H118" s="176">
        <f>리집계표!K55</f>
        <v>0</v>
      </c>
      <c r="I118" s="179" t="s">
        <v>5</v>
      </c>
      <c r="J118" s="177">
        <f>리집계표!M55</f>
        <v>0</v>
      </c>
      <c r="K118" s="176">
        <f>리집계표!K85</f>
        <v>0</v>
      </c>
      <c r="L118" s="179" t="s">
        <v>5</v>
      </c>
      <c r="M118" s="177">
        <f>리집계표!M85</f>
        <v>0</v>
      </c>
      <c r="N118" s="174"/>
      <c r="O118" s="11"/>
      <c r="P118" s="11"/>
      <c r="Q118" s="11"/>
      <c r="R118" s="11"/>
      <c r="S118" s="11"/>
      <c r="T118" s="11"/>
    </row>
    <row r="119" spans="1:20" s="12" customFormat="1" ht="22.5" customHeight="1">
      <c r="A119" s="173" t="s">
        <v>41</v>
      </c>
      <c r="B119" s="176">
        <f t="shared" si="6"/>
        <v>0</v>
      </c>
      <c r="C119" s="179" t="s">
        <v>5</v>
      </c>
      <c r="D119" s="177">
        <f t="shared" si="7"/>
        <v>0</v>
      </c>
      <c r="E119" s="176">
        <f>리집계표!K26</f>
        <v>0</v>
      </c>
      <c r="F119" s="179" t="s">
        <v>5</v>
      </c>
      <c r="G119" s="177">
        <f>리집계표!M26</f>
        <v>0</v>
      </c>
      <c r="H119" s="176">
        <f>리집계표!K56</f>
        <v>0</v>
      </c>
      <c r="I119" s="179" t="s">
        <v>5</v>
      </c>
      <c r="J119" s="177">
        <f>리집계표!M56</f>
        <v>0</v>
      </c>
      <c r="K119" s="176">
        <f>리집계표!K86</f>
        <v>0</v>
      </c>
      <c r="L119" s="179" t="s">
        <v>5</v>
      </c>
      <c r="M119" s="177">
        <f>리집계표!M86</f>
        <v>0</v>
      </c>
      <c r="N119" s="174"/>
      <c r="O119" s="11"/>
      <c r="P119" s="11"/>
      <c r="Q119" s="11"/>
      <c r="R119" s="11"/>
      <c r="S119" s="11"/>
      <c r="T119" s="11"/>
    </row>
    <row r="120" spans="1:20" s="12" customFormat="1" ht="22.5" customHeight="1">
      <c r="A120" s="173" t="s">
        <v>42</v>
      </c>
      <c r="B120" s="176">
        <f t="shared" si="6"/>
        <v>0</v>
      </c>
      <c r="C120" s="179" t="s">
        <v>5</v>
      </c>
      <c r="D120" s="177">
        <f t="shared" si="7"/>
        <v>0</v>
      </c>
      <c r="E120" s="176">
        <f>리집계표!K27</f>
        <v>0</v>
      </c>
      <c r="F120" s="179" t="s">
        <v>5</v>
      </c>
      <c r="G120" s="177">
        <f>리집계표!M27</f>
        <v>0</v>
      </c>
      <c r="H120" s="176">
        <f>리집계표!K57</f>
        <v>0</v>
      </c>
      <c r="I120" s="179" t="s">
        <v>5</v>
      </c>
      <c r="J120" s="177">
        <f>리집계표!M57</f>
        <v>0</v>
      </c>
      <c r="K120" s="176">
        <f>리집계표!K87</f>
        <v>0</v>
      </c>
      <c r="L120" s="179" t="s">
        <v>5</v>
      </c>
      <c r="M120" s="177">
        <f>리집계표!M87</f>
        <v>0</v>
      </c>
      <c r="N120" s="174"/>
      <c r="O120" s="11"/>
      <c r="P120" s="11"/>
      <c r="Q120" s="11"/>
      <c r="R120" s="11"/>
      <c r="S120" s="11"/>
      <c r="T120" s="11"/>
    </row>
    <row r="121" spans="1:20" s="12" customFormat="1" ht="22.5" customHeight="1">
      <c r="A121" s="173" t="s">
        <v>43</v>
      </c>
      <c r="B121" s="176">
        <f t="shared" si="6"/>
        <v>0</v>
      </c>
      <c r="C121" s="179" t="s">
        <v>5</v>
      </c>
      <c r="D121" s="177">
        <f t="shared" si="7"/>
        <v>0</v>
      </c>
      <c r="E121" s="176">
        <f>리집계표!K28</f>
        <v>0</v>
      </c>
      <c r="F121" s="179" t="s">
        <v>5</v>
      </c>
      <c r="G121" s="177">
        <f>리집계표!M28</f>
        <v>0</v>
      </c>
      <c r="H121" s="176">
        <f>리집계표!K58</f>
        <v>0</v>
      </c>
      <c r="I121" s="179" t="s">
        <v>5</v>
      </c>
      <c r="J121" s="177">
        <f>리집계표!M58</f>
        <v>0</v>
      </c>
      <c r="K121" s="176">
        <f>리집계표!K88</f>
        <v>0</v>
      </c>
      <c r="L121" s="179" t="s">
        <v>5</v>
      </c>
      <c r="M121" s="177">
        <f>리집계표!M88</f>
        <v>0</v>
      </c>
      <c r="N121" s="174"/>
      <c r="O121" s="11"/>
      <c r="P121" s="11"/>
      <c r="Q121" s="11"/>
      <c r="R121" s="11"/>
      <c r="S121" s="11"/>
      <c r="T121" s="11"/>
    </row>
    <row r="122" spans="1:20" s="12" customFormat="1" ht="22.5" customHeight="1">
      <c r="A122" s="173" t="s">
        <v>66</v>
      </c>
      <c r="B122" s="176">
        <f t="shared" si="6"/>
        <v>0</v>
      </c>
      <c r="C122" s="179" t="s">
        <v>5</v>
      </c>
      <c r="D122" s="177">
        <f t="shared" si="7"/>
        <v>0</v>
      </c>
      <c r="E122" s="176">
        <f>리집계표!K29</f>
        <v>0</v>
      </c>
      <c r="F122" s="179" t="s">
        <v>5</v>
      </c>
      <c r="G122" s="177">
        <f>리집계표!M29</f>
        <v>0</v>
      </c>
      <c r="H122" s="176">
        <f>리집계표!K59</f>
        <v>0</v>
      </c>
      <c r="I122" s="179" t="s">
        <v>5</v>
      </c>
      <c r="J122" s="177">
        <f>리집계표!M59</f>
        <v>0</v>
      </c>
      <c r="K122" s="176">
        <f>리집계표!K89</f>
        <v>0</v>
      </c>
      <c r="L122" s="179" t="s">
        <v>5</v>
      </c>
      <c r="M122" s="177">
        <f>리집계표!M89</f>
        <v>0</v>
      </c>
      <c r="N122" s="174"/>
      <c r="O122" s="11"/>
      <c r="P122" s="11"/>
      <c r="Q122" s="11"/>
      <c r="R122" s="11"/>
      <c r="S122" s="11"/>
      <c r="T122" s="11"/>
    </row>
    <row r="123" spans="1:20" s="12" customFormat="1" ht="22.5" customHeight="1">
      <c r="A123" s="173" t="s">
        <v>274</v>
      </c>
      <c r="B123" s="176">
        <f t="shared" si="6"/>
        <v>3</v>
      </c>
      <c r="C123" s="179" t="s">
        <v>5</v>
      </c>
      <c r="D123" s="177">
        <f t="shared" si="7"/>
        <v>4231</v>
      </c>
      <c r="E123" s="176">
        <f>리집계표!K30</f>
        <v>0</v>
      </c>
      <c r="F123" s="179" t="s">
        <v>5</v>
      </c>
      <c r="G123" s="177">
        <f>리집계표!M30</f>
        <v>0</v>
      </c>
      <c r="H123" s="176">
        <f>리집계표!K60</f>
        <v>1</v>
      </c>
      <c r="I123" s="179" t="s">
        <v>5</v>
      </c>
      <c r="J123" s="177">
        <f>리집계표!M60</f>
        <v>1245</v>
      </c>
      <c r="K123" s="176">
        <f>리집계표!K90</f>
        <v>2</v>
      </c>
      <c r="L123" s="179" t="s">
        <v>5</v>
      </c>
      <c r="M123" s="177">
        <f>리집계표!M90</f>
        <v>2986</v>
      </c>
      <c r="N123" s="174"/>
      <c r="O123" s="11"/>
      <c r="P123" s="11"/>
      <c r="Q123" s="11"/>
      <c r="R123" s="11"/>
      <c r="S123" s="11"/>
      <c r="T123" s="11"/>
    </row>
    <row r="124" spans="1:20" s="12" customFormat="1" ht="22.5" customHeight="1">
      <c r="A124" s="173" t="s">
        <v>54</v>
      </c>
      <c r="B124" s="176">
        <f t="shared" si="6"/>
        <v>0</v>
      </c>
      <c r="C124" s="179" t="s">
        <v>5</v>
      </c>
      <c r="D124" s="177">
        <f t="shared" si="7"/>
        <v>0</v>
      </c>
      <c r="E124" s="176">
        <f>리집계표!K31</f>
        <v>0</v>
      </c>
      <c r="F124" s="179" t="s">
        <v>5</v>
      </c>
      <c r="G124" s="177">
        <f>리집계표!M31</f>
        <v>0</v>
      </c>
      <c r="H124" s="176">
        <f>리집계표!K61</f>
        <v>0</v>
      </c>
      <c r="I124" s="179" t="s">
        <v>5</v>
      </c>
      <c r="J124" s="177">
        <f>리집계표!M61</f>
        <v>0</v>
      </c>
      <c r="K124" s="176">
        <f>리집계표!K91</f>
        <v>0</v>
      </c>
      <c r="L124" s="179" t="s">
        <v>5</v>
      </c>
      <c r="M124" s="177">
        <f>리집계표!M91</f>
        <v>0</v>
      </c>
      <c r="N124" s="174"/>
      <c r="O124" s="11"/>
      <c r="P124" s="11"/>
      <c r="Q124" s="11"/>
      <c r="R124" s="11"/>
      <c r="S124" s="11"/>
      <c r="T124" s="11"/>
    </row>
  </sheetData>
  <sheetProtection/>
  <printOptions/>
  <pageMargins left="0.35" right="0.36" top="0.68" bottom="0.5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1"/>
  <sheetViews>
    <sheetView showGridLines="0" showZeros="0" view="pageBreakPreview" zoomScale="75" zoomScaleSheetLayoutView="75" zoomScalePageLayoutView="0" workbookViewId="0" topLeftCell="A1">
      <selection activeCell="A1" sqref="A1"/>
    </sheetView>
  </sheetViews>
  <sheetFormatPr defaultColWidth="8.88671875" defaultRowHeight="13.5"/>
  <cols>
    <col min="1" max="1" width="10.3359375" style="3" customWidth="1"/>
    <col min="2" max="2" width="6.3359375" style="4" customWidth="1"/>
    <col min="3" max="3" width="1.33203125" style="4" customWidth="1"/>
    <col min="4" max="4" width="9.88671875" style="4" customWidth="1"/>
    <col min="5" max="5" width="6.3359375" style="4" customWidth="1"/>
    <col min="6" max="6" width="1.33203125" style="4" customWidth="1"/>
    <col min="7" max="7" width="8.3359375" style="4" customWidth="1"/>
    <col min="8" max="8" width="6.3359375" style="4" customWidth="1"/>
    <col min="9" max="9" width="1.33203125" style="4" customWidth="1"/>
    <col min="10" max="10" width="8.3359375" style="165" customWidth="1"/>
    <col min="11" max="11" width="6.3359375" style="4" customWidth="1"/>
    <col min="12" max="12" width="1.33203125" style="4" customWidth="1"/>
    <col min="13" max="13" width="9.21484375" style="4" customWidth="1"/>
    <col min="14" max="14" width="6.77734375" style="4" customWidth="1"/>
    <col min="15" max="20" width="12.21484375" style="4" hidden="1" customWidth="1"/>
    <col min="21" max="22" width="8.3359375" style="4" customWidth="1"/>
    <col min="23" max="16384" width="8.88671875" style="4" customWidth="1"/>
  </cols>
  <sheetData>
    <row r="1" spans="1:14" s="7" customFormat="1" ht="60" customHeight="1">
      <c r="A1" s="36" t="s">
        <v>52</v>
      </c>
      <c r="B1" s="5"/>
      <c r="C1" s="5"/>
      <c r="D1" s="6"/>
      <c r="E1" s="6"/>
      <c r="F1" s="5"/>
      <c r="G1" s="5"/>
      <c r="H1" s="6"/>
      <c r="I1" s="5"/>
      <c r="J1" s="164"/>
      <c r="K1" s="5"/>
      <c r="L1" s="5"/>
      <c r="M1" s="5"/>
      <c r="N1" s="5"/>
    </row>
    <row r="2" spans="1:14" s="10" customFormat="1" ht="19.5" customHeight="1">
      <c r="A2" s="3"/>
      <c r="B2" s="4"/>
      <c r="C2" s="4"/>
      <c r="D2" s="4"/>
      <c r="E2" s="4"/>
      <c r="F2" s="4"/>
      <c r="G2" s="4"/>
      <c r="H2" s="4"/>
      <c r="I2" s="4"/>
      <c r="J2" s="165"/>
      <c r="K2" s="208" t="str">
        <f>IF(ISBLANK('오천읍 세계리'!K2),,'오천읍 세계리'!K2)</f>
        <v>오천읍 세계리</v>
      </c>
      <c r="L2" s="208"/>
      <c r="M2" s="208"/>
      <c r="N2" s="208"/>
    </row>
    <row r="3" spans="1:14" s="10" customFormat="1" ht="9.75" customHeight="1">
      <c r="A3" s="3"/>
      <c r="B3" s="4"/>
      <c r="C3" s="4"/>
      <c r="D3" s="4"/>
      <c r="E3" s="4"/>
      <c r="F3" s="4"/>
      <c r="G3" s="4"/>
      <c r="H3" s="4"/>
      <c r="I3" s="4"/>
      <c r="J3" s="165"/>
      <c r="K3" s="4"/>
      <c r="L3" s="4"/>
      <c r="M3" s="4"/>
      <c r="N3" s="4"/>
    </row>
    <row r="4" spans="1:22" s="12" customFormat="1" ht="27.75" customHeight="1">
      <c r="A4" s="31" t="s">
        <v>2</v>
      </c>
      <c r="B4" s="32" t="s">
        <v>3</v>
      </c>
      <c r="C4" s="33"/>
      <c r="D4" s="34"/>
      <c r="E4" s="32" t="s">
        <v>44</v>
      </c>
      <c r="F4" s="33"/>
      <c r="G4" s="34"/>
      <c r="H4" s="32" t="s">
        <v>55</v>
      </c>
      <c r="I4" s="33"/>
      <c r="J4" s="166"/>
      <c r="K4" s="32" t="s">
        <v>45</v>
      </c>
      <c r="L4" s="33"/>
      <c r="M4" s="34"/>
      <c r="N4" s="35" t="s">
        <v>21</v>
      </c>
      <c r="O4" s="11"/>
      <c r="S4" s="11"/>
      <c r="T4" s="11"/>
      <c r="U4" s="11"/>
      <c r="V4" s="11"/>
    </row>
    <row r="5" spans="1:22" s="12" customFormat="1" ht="27.75" customHeight="1" thickBot="1">
      <c r="A5" s="37"/>
      <c r="B5" s="38" t="s">
        <v>4</v>
      </c>
      <c r="C5" s="39" t="s">
        <v>5</v>
      </c>
      <c r="D5" s="40" t="s">
        <v>46</v>
      </c>
      <c r="E5" s="38" t="s">
        <v>4</v>
      </c>
      <c r="F5" s="39" t="s">
        <v>5</v>
      </c>
      <c r="G5" s="41" t="s">
        <v>56</v>
      </c>
      <c r="H5" s="38" t="s">
        <v>4</v>
      </c>
      <c r="I5" s="39" t="s">
        <v>5</v>
      </c>
      <c r="J5" s="167" t="s">
        <v>56</v>
      </c>
      <c r="K5" s="38" t="s">
        <v>4</v>
      </c>
      <c r="L5" s="39" t="s">
        <v>5</v>
      </c>
      <c r="M5" s="41" t="s">
        <v>56</v>
      </c>
      <c r="N5" s="42"/>
      <c r="P5" s="11"/>
      <c r="Q5" s="13" t="s">
        <v>47</v>
      </c>
      <c r="R5" s="13" t="s">
        <v>48</v>
      </c>
      <c r="S5" s="13" t="s">
        <v>49</v>
      </c>
      <c r="T5" s="13" t="s">
        <v>50</v>
      </c>
      <c r="U5" s="11"/>
      <c r="V5" s="11"/>
    </row>
    <row r="6" spans="1:22" s="12" customFormat="1" ht="22.5" customHeight="1" thickTop="1">
      <c r="A6" s="46" t="s">
        <v>3</v>
      </c>
      <c r="B6" s="47">
        <f>SUM(B7:B31)</f>
        <v>17</v>
      </c>
      <c r="C6" s="48" t="s">
        <v>5</v>
      </c>
      <c r="D6" s="49">
        <f>SUM(D7:D31)</f>
        <v>11639</v>
      </c>
      <c r="E6" s="47">
        <f>SUM(E7:E31)</f>
        <v>11</v>
      </c>
      <c r="F6" s="48" t="s">
        <v>5</v>
      </c>
      <c r="G6" s="49">
        <f>SUM(G7:G31)</f>
        <v>6108</v>
      </c>
      <c r="H6" s="47">
        <f>SUM(H7:H31)</f>
        <v>3</v>
      </c>
      <c r="I6" s="48" t="s">
        <v>5</v>
      </c>
      <c r="J6" s="168">
        <f>SUM(J7:J31)</f>
        <v>3168</v>
      </c>
      <c r="K6" s="47">
        <f>SUM(K7:K31)</f>
        <v>3</v>
      </c>
      <c r="L6" s="48" t="s">
        <v>5</v>
      </c>
      <c r="M6" s="49">
        <f>SUM(M7:M31)</f>
        <v>2363</v>
      </c>
      <c r="N6" s="50"/>
      <c r="O6" s="11" t="str">
        <f>IF(EXACT(Q6,T6),"맞음","틀림")</f>
        <v>틀림</v>
      </c>
      <c r="P6" s="11" t="s">
        <v>4</v>
      </c>
      <c r="Q6" s="14">
        <f>SUM(B7:B31)</f>
        <v>17</v>
      </c>
      <c r="R6" s="14">
        <f>SUM(E7:E31)</f>
        <v>11</v>
      </c>
      <c r="S6" s="14">
        <f>SUM(K7:K31)</f>
        <v>3</v>
      </c>
      <c r="T6" s="14">
        <f>K6+E6</f>
        <v>14</v>
      </c>
      <c r="U6" s="11"/>
      <c r="V6" s="11"/>
    </row>
    <row r="7" spans="1:22" s="12" customFormat="1" ht="22.5" customHeight="1">
      <c r="A7" s="43" t="s">
        <v>6</v>
      </c>
      <c r="B7" s="17">
        <f>COUNTIF('오천읍 세계리'!$C$6:$C$253,"전")</f>
        <v>3</v>
      </c>
      <c r="C7" s="44" t="s">
        <v>5</v>
      </c>
      <c r="D7" s="18">
        <f>SUMIF('오천읍 세계리'!$C$6:$C$253,"전",'오천읍 세계리'!$E$6:$E$253)</f>
        <v>497</v>
      </c>
      <c r="E7" s="17">
        <f>COUNTIF('오천읍 세계리'!$N$6:$N$253,"전국")</f>
        <v>1</v>
      </c>
      <c r="F7" s="44" t="s">
        <v>5</v>
      </c>
      <c r="G7" s="18">
        <f>SUMIF('오천읍 세계리'!$N$6:$N$66,"전국",'오천읍 세계리'!$E$6:$E$66)</f>
        <v>180</v>
      </c>
      <c r="H7" s="17">
        <f>COUNTIF('오천읍 세계리'!$N$6:$N$300,"전공")</f>
        <v>1</v>
      </c>
      <c r="I7" s="44" t="s">
        <v>5</v>
      </c>
      <c r="J7" s="169">
        <f>SUMIF('오천읍 세계리'!$N$6:$N$66,"전공",'오천읍 세계리'!$E$6:$E$66)</f>
        <v>284</v>
      </c>
      <c r="K7" s="17">
        <f>B7-E7-H7</f>
        <v>1</v>
      </c>
      <c r="L7" s="44" t="s">
        <v>5</v>
      </c>
      <c r="M7" s="18">
        <f>D7-G7-J7</f>
        <v>33</v>
      </c>
      <c r="N7" s="45"/>
      <c r="O7" s="11" t="str">
        <f>IF(EXACT(Q7,T7),"맞음","틀림")</f>
        <v>틀림</v>
      </c>
      <c r="P7" s="11" t="s">
        <v>51</v>
      </c>
      <c r="Q7" s="14">
        <f>SUM(D7:D31)</f>
        <v>11639</v>
      </c>
      <c r="R7" s="14">
        <f>SUM(G7:G31)</f>
        <v>6108</v>
      </c>
      <c r="S7" s="14">
        <f>SUM(M7:M31)</f>
        <v>2363</v>
      </c>
      <c r="T7" s="14">
        <f>G6+M6</f>
        <v>8471</v>
      </c>
      <c r="U7" s="11"/>
      <c r="V7" s="11"/>
    </row>
    <row r="8" spans="1:22" s="12" customFormat="1" ht="22.5" customHeight="1">
      <c r="A8" s="22" t="s">
        <v>7</v>
      </c>
      <c r="B8" s="19">
        <f>COUNTIF('오천읍 세계리'!$C$6:$C$253,"답")</f>
        <v>2</v>
      </c>
      <c r="C8" s="20" t="s">
        <v>5</v>
      </c>
      <c r="D8" s="21">
        <f>SUMIF('오천읍 세계리'!$C$6:$C$253,"답",'오천읍 세계리'!$E$6:$E$253)</f>
        <v>64</v>
      </c>
      <c r="E8" s="19">
        <f>COUNTIF('오천읍 세계리'!$N$6:$N$253,"답국")</f>
        <v>2</v>
      </c>
      <c r="F8" s="20" t="s">
        <v>5</v>
      </c>
      <c r="G8" s="21">
        <f>SUMIF('오천읍 세계리'!$N$6:$N$66,"답국",'오천읍 세계리'!$E$6:$E$66)</f>
        <v>64</v>
      </c>
      <c r="H8" s="19">
        <f>COUNTIF('오천읍 세계리'!$N$6:$N$300,"답공")</f>
        <v>0</v>
      </c>
      <c r="I8" s="20" t="s">
        <v>5</v>
      </c>
      <c r="J8" s="170">
        <f>SUMIF('오천읍 세계리'!$N$6:$N$300,"답공",'오천읍 세계리'!$E$6:$E$300)</f>
        <v>0</v>
      </c>
      <c r="K8" s="19">
        <f aca="true" t="shared" si="0" ref="K8:K30">B8-E8-H8</f>
        <v>0</v>
      </c>
      <c r="L8" s="20" t="s">
        <v>5</v>
      </c>
      <c r="M8" s="21">
        <f aca="true" t="shared" si="1" ref="M8:M30">D8-G8-J8</f>
        <v>0</v>
      </c>
      <c r="N8" s="23"/>
      <c r="Q8" s="11"/>
      <c r="S8" s="11"/>
      <c r="U8" s="11"/>
      <c r="V8" s="11"/>
    </row>
    <row r="9" spans="1:22" s="12" customFormat="1" ht="22.5" customHeight="1">
      <c r="A9" s="24" t="s">
        <v>8</v>
      </c>
      <c r="B9" s="19">
        <f>COUNTIF('오천읍 세계리'!$C$6:$C$253,"임")</f>
        <v>9</v>
      </c>
      <c r="C9" s="20" t="s">
        <v>5</v>
      </c>
      <c r="D9" s="21">
        <f>SUMIF('오천읍 세계리'!$C$6:$C$253,"임",'오천읍 세계리'!$E$6:$E$253)</f>
        <v>11032</v>
      </c>
      <c r="E9" s="19">
        <f>COUNTIF('오천읍 세계리'!$N$6:$N$253,"임국")</f>
        <v>7</v>
      </c>
      <c r="F9" s="20" t="s">
        <v>5</v>
      </c>
      <c r="G9" s="21">
        <f>SUMIF('오천읍 세계리'!$N$6:$N$66,"임국",'오천읍 세계리'!$E$6:$E$66)</f>
        <v>5859</v>
      </c>
      <c r="H9" s="19">
        <f>COUNTIF('오천읍 세계리'!$N$6:$N$300,"임공")</f>
        <v>1</v>
      </c>
      <c r="I9" s="20" t="s">
        <v>5</v>
      </c>
      <c r="J9" s="170">
        <f>SUMIF('오천읍 세계리'!$N$6:$N$66,"임공",'오천읍 세계리'!$E$6:$E$66)</f>
        <v>2858</v>
      </c>
      <c r="K9" s="19">
        <f t="shared" si="0"/>
        <v>1</v>
      </c>
      <c r="L9" s="20" t="s">
        <v>5</v>
      </c>
      <c r="M9" s="21">
        <f t="shared" si="1"/>
        <v>2315</v>
      </c>
      <c r="N9" s="23"/>
      <c r="Q9" s="11"/>
      <c r="S9" s="11"/>
      <c r="U9" s="11"/>
      <c r="V9" s="11"/>
    </row>
    <row r="10" spans="1:22" s="12" customFormat="1" ht="22.5" customHeight="1">
      <c r="A10" s="22" t="s">
        <v>9</v>
      </c>
      <c r="B10" s="19">
        <f>COUNTIF('오천읍 세계리'!$C$6:$C$253,"대")</f>
        <v>0</v>
      </c>
      <c r="C10" s="20" t="s">
        <v>5</v>
      </c>
      <c r="D10" s="21">
        <f>SUMIF('오천읍 세계리'!$C$6:$C$253,"대",'오천읍 세계리'!$E$6:$E$253)</f>
        <v>0</v>
      </c>
      <c r="E10" s="19">
        <f>COUNTIF('오천읍 세계리'!$N$6:$N$253,"대국")</f>
        <v>0</v>
      </c>
      <c r="F10" s="20" t="s">
        <v>5</v>
      </c>
      <c r="G10" s="21">
        <f>SUMIF('오천읍 세계리'!$N$6:$N$66,"대국",'오천읍 세계리'!$E$6:$E$66)</f>
        <v>0</v>
      </c>
      <c r="H10" s="19">
        <f>COUNTIF('오천읍 세계리'!$N$6:$N$300,"대공")</f>
        <v>0</v>
      </c>
      <c r="I10" s="20" t="s">
        <v>5</v>
      </c>
      <c r="J10" s="170">
        <f>SUMIF('오천읍 세계리'!$N$6:$N$66,"대공",'오천읍 세계리'!$E$6:$E$66)</f>
        <v>0</v>
      </c>
      <c r="K10" s="19">
        <f t="shared" si="0"/>
        <v>0</v>
      </c>
      <c r="L10" s="20" t="s">
        <v>5</v>
      </c>
      <c r="M10" s="21">
        <f t="shared" si="1"/>
        <v>0</v>
      </c>
      <c r="N10" s="23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22.5" customHeight="1">
      <c r="A11" s="22" t="s">
        <v>10</v>
      </c>
      <c r="B11" s="19">
        <f>COUNTIF('오천읍 세계리'!$C$6:$C$253,"도")</f>
        <v>3</v>
      </c>
      <c r="C11" s="20" t="s">
        <v>5</v>
      </c>
      <c r="D11" s="21">
        <f>SUMIF('오천읍 세계리'!$C$6:$C$253,"도",'오천읍 세계리'!$E$6:$E$66)</f>
        <v>46</v>
      </c>
      <c r="E11" s="19">
        <f>COUNTIF('오천읍 세계리'!$N$6:$N$300,"도국")</f>
        <v>1</v>
      </c>
      <c r="F11" s="20" t="s">
        <v>5</v>
      </c>
      <c r="G11" s="21">
        <f>SUMIF('오천읍 세계리'!$N$6:$N$300,"도국",'오천읍 세계리'!$E$6:$E$300)</f>
        <v>5</v>
      </c>
      <c r="H11" s="19">
        <f>COUNTIF('오천읍 세계리'!$N$6:$N$300,"도공")</f>
        <v>1</v>
      </c>
      <c r="I11" s="20" t="s">
        <v>5</v>
      </c>
      <c r="J11" s="170">
        <f>SUMIF('오천읍 세계리'!$N$6:$N$300,"도공",'오천읍 세계리'!$E$6:$E$300)</f>
        <v>26</v>
      </c>
      <c r="K11" s="19">
        <f t="shared" si="0"/>
        <v>1</v>
      </c>
      <c r="L11" s="20" t="s">
        <v>5</v>
      </c>
      <c r="M11" s="21">
        <f t="shared" si="1"/>
        <v>15</v>
      </c>
      <c r="N11" s="23"/>
      <c r="O11" s="11"/>
      <c r="P11" s="11"/>
      <c r="Q11" s="11"/>
      <c r="R11" s="11"/>
      <c r="S11" s="11"/>
      <c r="T11" s="11"/>
      <c r="U11" s="11"/>
      <c r="V11" s="11"/>
    </row>
    <row r="12" spans="1:22" s="12" customFormat="1" ht="22.5" customHeight="1">
      <c r="A12" s="22" t="s">
        <v>12</v>
      </c>
      <c r="B12" s="19">
        <f>COUNTIF('오천읍 세계리'!$C$6:$C$253,"구")</f>
        <v>0</v>
      </c>
      <c r="C12" s="20" t="s">
        <v>5</v>
      </c>
      <c r="D12" s="21">
        <f>SUMIF('오천읍 세계리'!$C$6:$C$300,"구",'오천읍 세계리'!$E$6:$E$300)</f>
        <v>0</v>
      </c>
      <c r="E12" s="19">
        <f>COUNTIF('오천읍 세계리'!$N$6:$N$300,"구국")</f>
        <v>0</v>
      </c>
      <c r="F12" s="20" t="s">
        <v>5</v>
      </c>
      <c r="G12" s="21">
        <f>SUMIF('오천읍 세계리'!$N$6:$N$300,"구국",'오천읍 세계리'!$E$6:$E$300)</f>
        <v>0</v>
      </c>
      <c r="H12" s="19">
        <f>COUNTIF('오천읍 세계리'!$N$6:$N$300,"구공")</f>
        <v>0</v>
      </c>
      <c r="I12" s="20" t="s">
        <v>5</v>
      </c>
      <c r="J12" s="170">
        <f>SUMIF('오천읍 세계리'!$N$6:$N$66,"구공",'오천읍 세계리'!$E$6:$E$66)</f>
        <v>0</v>
      </c>
      <c r="K12" s="19">
        <f t="shared" si="0"/>
        <v>0</v>
      </c>
      <c r="L12" s="20" t="s">
        <v>5</v>
      </c>
      <c r="M12" s="21">
        <f t="shared" si="1"/>
        <v>0</v>
      </c>
      <c r="N12" s="23"/>
      <c r="O12" s="11"/>
      <c r="P12" s="11"/>
      <c r="Q12" s="11"/>
      <c r="R12" s="11"/>
      <c r="S12" s="11"/>
      <c r="T12" s="11"/>
      <c r="U12" s="11"/>
      <c r="V12" s="11"/>
    </row>
    <row r="13" spans="1:22" s="12" customFormat="1" ht="22.5" customHeight="1">
      <c r="A13" s="22" t="s">
        <v>11</v>
      </c>
      <c r="B13" s="19">
        <f>COUNTIF('오천읍 세계리'!$C$6:$C$253,"천")</f>
        <v>0</v>
      </c>
      <c r="C13" s="20" t="s">
        <v>5</v>
      </c>
      <c r="D13" s="21">
        <f>SUMIF('오천읍 세계리'!$C$6:$C$66,"천",'오천읍 세계리'!$E$6:$E$66)</f>
        <v>0</v>
      </c>
      <c r="E13" s="19">
        <f>COUNTIF('오천읍 세계리'!$N$6:$N$300,"천국")</f>
        <v>0</v>
      </c>
      <c r="F13" s="20" t="s">
        <v>5</v>
      </c>
      <c r="G13" s="21">
        <f>SUMIF('오천읍 세계리'!$N$6:$N$66,"천국",'오천읍 세계리'!$E$6:$E$66)</f>
        <v>0</v>
      </c>
      <c r="H13" s="19">
        <f>COUNTIF('오천읍 세계리'!$N$6:$N$300,"천공")</f>
        <v>0</v>
      </c>
      <c r="I13" s="20" t="s">
        <v>5</v>
      </c>
      <c r="J13" s="170">
        <f>SUMIF('오천읍 세계리'!$N$6:$N$66,"천공",'오천읍 세계리'!$E$6:$E$66)</f>
        <v>0</v>
      </c>
      <c r="K13" s="19">
        <f t="shared" si="0"/>
        <v>0</v>
      </c>
      <c r="L13" s="20" t="s">
        <v>5</v>
      </c>
      <c r="M13" s="21">
        <f t="shared" si="1"/>
        <v>0</v>
      </c>
      <c r="N13" s="23"/>
      <c r="O13" s="11"/>
      <c r="P13" s="11"/>
      <c r="Q13" s="11"/>
      <c r="R13" s="11"/>
      <c r="S13" s="11"/>
      <c r="T13" s="11"/>
      <c r="U13" s="11"/>
      <c r="V13" s="11"/>
    </row>
    <row r="14" spans="1:22" s="12" customFormat="1" ht="22.5" customHeight="1">
      <c r="A14" s="22" t="s">
        <v>14</v>
      </c>
      <c r="B14" s="19">
        <f>COUNTIF('오천읍 세계리'!$C$6:$C$253,"유")</f>
        <v>0</v>
      </c>
      <c r="C14" s="20" t="s">
        <v>5</v>
      </c>
      <c r="D14" s="21">
        <f>SUMIF('오천읍 세계리'!$C$6:$C$66,"유",'오천읍 세계리'!$E$6:$E$66)</f>
        <v>0</v>
      </c>
      <c r="E14" s="19">
        <f>COUNTIF('오천읍 세계리'!$N$6:$N$300,"유국")</f>
        <v>0</v>
      </c>
      <c r="F14" s="20" t="s">
        <v>5</v>
      </c>
      <c r="G14" s="21">
        <f>SUMIF('오천읍 세계리'!$N$6:$N$66,"유국",'오천읍 세계리'!$E$6:$E$66)</f>
        <v>0</v>
      </c>
      <c r="H14" s="19">
        <f>COUNTIF('오천읍 세계리'!$N$6:$N$300,"유공")</f>
        <v>0</v>
      </c>
      <c r="I14" s="20" t="s">
        <v>5</v>
      </c>
      <c r="J14" s="170">
        <f>SUMIF('오천읍 세계리'!$N$6:$N$66,"유공",'오천읍 세계리'!$E$6:$E$66)</f>
        <v>0</v>
      </c>
      <c r="K14" s="19">
        <f t="shared" si="0"/>
        <v>0</v>
      </c>
      <c r="L14" s="20" t="s">
        <v>5</v>
      </c>
      <c r="M14" s="21">
        <f t="shared" si="1"/>
        <v>0</v>
      </c>
      <c r="N14" s="23"/>
      <c r="O14" s="11"/>
      <c r="P14" s="11"/>
      <c r="Q14" s="11"/>
      <c r="R14" s="11"/>
      <c r="S14" s="11"/>
      <c r="T14" s="11"/>
      <c r="U14" s="11"/>
      <c r="V14" s="11"/>
    </row>
    <row r="15" spans="1:22" s="12" customFormat="1" ht="22.5" customHeight="1">
      <c r="A15" s="22" t="s">
        <v>13</v>
      </c>
      <c r="B15" s="19">
        <f>COUNTIF('오천읍 세계리'!$C$6:$C$253,"제")</f>
        <v>0</v>
      </c>
      <c r="C15" s="20" t="s">
        <v>5</v>
      </c>
      <c r="D15" s="21">
        <f>SUMIF('오천읍 세계리'!$C$6:$C$66,"제",'오천읍 세계리'!$E$6:$E$66)</f>
        <v>0</v>
      </c>
      <c r="E15" s="19">
        <f>COUNTIF('오천읍 세계리'!$N$6:$N$300,"제국")</f>
        <v>0</v>
      </c>
      <c r="F15" s="20" t="s">
        <v>5</v>
      </c>
      <c r="G15" s="21">
        <f>SUMIF('오천읍 세계리'!$N$6:$N$66,"제국",'오천읍 세계리'!$E$6:$E$66)</f>
        <v>0</v>
      </c>
      <c r="H15" s="19">
        <f>COUNTIF('오천읍 세계리'!$N$6:$N$66,"제공")</f>
        <v>0</v>
      </c>
      <c r="I15" s="20" t="s">
        <v>5</v>
      </c>
      <c r="J15" s="170">
        <f>SUMIF('오천읍 세계리'!$N$6:$N$66,"제공",'오천읍 세계리'!$E$6:$E$66)</f>
        <v>0</v>
      </c>
      <c r="K15" s="19">
        <f t="shared" si="0"/>
        <v>0</v>
      </c>
      <c r="L15" s="20" t="s">
        <v>5</v>
      </c>
      <c r="M15" s="21">
        <f t="shared" si="1"/>
        <v>0</v>
      </c>
      <c r="N15" s="23"/>
      <c r="O15" s="11"/>
      <c r="P15" s="11"/>
      <c r="Q15" s="11"/>
      <c r="R15" s="11"/>
      <c r="S15" s="11"/>
      <c r="T15" s="11"/>
      <c r="U15" s="11"/>
      <c r="V15" s="11"/>
    </row>
    <row r="16" spans="1:22" s="12" customFormat="1" ht="22.5" customHeight="1">
      <c r="A16" s="22" t="s">
        <v>15</v>
      </c>
      <c r="B16" s="19">
        <f>COUNTIF('오천읍 세계리'!$C$6:$C$253,"과")</f>
        <v>0</v>
      </c>
      <c r="C16" s="20" t="s">
        <v>5</v>
      </c>
      <c r="D16" s="21">
        <f>SUMIF('오천읍 세계리'!$C$6:$C$66,"과",'오천읍 세계리'!$E$6:$E$66)</f>
        <v>0</v>
      </c>
      <c r="E16" s="19">
        <f>COUNTIF('오천읍 세계리'!$N$6:$N$300,"과국")</f>
        <v>0</v>
      </c>
      <c r="F16" s="20" t="s">
        <v>5</v>
      </c>
      <c r="G16" s="21">
        <f>SUMIF('오천읍 세계리'!$N$6:$N$66,"과국",'오천읍 세계리'!$E$6:$E$66)</f>
        <v>0</v>
      </c>
      <c r="H16" s="19">
        <f>COUNTIF('오천읍 세계리'!$N$6:$N$66,"과공")</f>
        <v>0</v>
      </c>
      <c r="I16" s="20" t="s">
        <v>5</v>
      </c>
      <c r="J16" s="170">
        <f>SUMIF('오천읍 세계리'!$N$6:$N$66,"과공",'오천읍 세계리'!$E$6:$E$66)</f>
        <v>0</v>
      </c>
      <c r="K16" s="19">
        <f t="shared" si="0"/>
        <v>0</v>
      </c>
      <c r="L16" s="20" t="s">
        <v>5</v>
      </c>
      <c r="M16" s="21">
        <f t="shared" si="1"/>
        <v>0</v>
      </c>
      <c r="N16" s="23"/>
      <c r="O16" s="11"/>
      <c r="P16" s="11"/>
      <c r="Q16" s="11"/>
      <c r="R16" s="11"/>
      <c r="S16" s="11"/>
      <c r="T16" s="11"/>
      <c r="U16" s="11"/>
      <c r="V16" s="11"/>
    </row>
    <row r="17" spans="1:22" s="12" customFormat="1" ht="22.5" customHeight="1">
      <c r="A17" s="22" t="s">
        <v>20</v>
      </c>
      <c r="B17" s="19">
        <f>COUNTIF('오천읍 세계리'!$C$6:$C$253,"장")</f>
        <v>0</v>
      </c>
      <c r="C17" s="20" t="s">
        <v>5</v>
      </c>
      <c r="D17" s="21">
        <f>SUMIF('오천읍 세계리'!$C$6:$C$253,"장",'오천읍 세계리'!$E$6:$E$253)</f>
        <v>0</v>
      </c>
      <c r="E17" s="19">
        <f>COUNTIF('오천읍 세계리'!$N$6:$N$300,"장국")</f>
        <v>0</v>
      </c>
      <c r="F17" s="20" t="s">
        <v>5</v>
      </c>
      <c r="G17" s="21">
        <f>SUMIF('오천읍 세계리'!$N$6:$N$66,"장국",'오천읍 세계리'!$E$6:$E$66)</f>
        <v>0</v>
      </c>
      <c r="H17" s="19">
        <f>COUNTIF('오천읍 세계리'!$N$6:$N$66,"장공")</f>
        <v>0</v>
      </c>
      <c r="I17" s="20" t="s">
        <v>5</v>
      </c>
      <c r="J17" s="170">
        <f>SUMIF('오천읍 세계리'!$N$6:$N$66,"장공",'오천읍 세계리'!$E$6:$E$66)</f>
        <v>0</v>
      </c>
      <c r="K17" s="19">
        <f t="shared" si="0"/>
        <v>0</v>
      </c>
      <c r="L17" s="20" t="s">
        <v>5</v>
      </c>
      <c r="M17" s="21">
        <f t="shared" si="1"/>
        <v>0</v>
      </c>
      <c r="N17" s="23"/>
      <c r="O17" s="11"/>
      <c r="P17" s="11"/>
      <c r="Q17" s="11"/>
      <c r="R17" s="11"/>
      <c r="S17" s="11"/>
      <c r="T17" s="11"/>
      <c r="U17" s="11"/>
      <c r="V17" s="11"/>
    </row>
    <row r="18" spans="1:22" s="12" customFormat="1" ht="22.5" customHeight="1">
      <c r="A18" s="22" t="s">
        <v>17</v>
      </c>
      <c r="B18" s="19">
        <f>COUNTIF('오천읍 세계리'!$C$6:$C$253,"목")</f>
        <v>0</v>
      </c>
      <c r="C18" s="20" t="s">
        <v>5</v>
      </c>
      <c r="D18" s="21">
        <f>SUMIF('오천읍 세계리'!$C$6:$C$253,"목",'오천읍 세계리'!$E$6:$E$253)</f>
        <v>0</v>
      </c>
      <c r="E18" s="19">
        <f>COUNTIF('오천읍 세계리'!$N$6:$N$300,"목국")</f>
        <v>0</v>
      </c>
      <c r="F18" s="20" t="s">
        <v>5</v>
      </c>
      <c r="G18" s="21">
        <f>SUMIF('오천읍 세계리'!$N$6:$N$66,"목국",'오천읍 세계리'!$E$6:$E$66)</f>
        <v>0</v>
      </c>
      <c r="H18" s="19">
        <f>COUNTIF('오천읍 세계리'!$N$6:$N$66,"목공")</f>
        <v>0</v>
      </c>
      <c r="I18" s="20" t="s">
        <v>5</v>
      </c>
      <c r="J18" s="170">
        <f>SUMIF('오천읍 세계리'!$N$6:$N$66,"목공",'오천읍 세계리'!$E$6:$E$66)</f>
        <v>0</v>
      </c>
      <c r="K18" s="19">
        <f t="shared" si="0"/>
        <v>0</v>
      </c>
      <c r="L18" s="20" t="s">
        <v>5</v>
      </c>
      <c r="M18" s="21">
        <f t="shared" si="1"/>
        <v>0</v>
      </c>
      <c r="N18" s="23"/>
      <c r="O18" s="11"/>
      <c r="P18" s="11"/>
      <c r="Q18" s="11"/>
      <c r="R18" s="11"/>
      <c r="S18" s="11"/>
      <c r="T18" s="11"/>
      <c r="U18" s="11"/>
      <c r="V18" s="11"/>
    </row>
    <row r="19" spans="1:22" s="12" customFormat="1" ht="22.5" customHeight="1">
      <c r="A19" s="22" t="s">
        <v>22</v>
      </c>
      <c r="B19" s="19">
        <f>COUNTIF('오천읍 세계리'!$C$6:$C$253,"학")</f>
        <v>0</v>
      </c>
      <c r="C19" s="20" t="s">
        <v>5</v>
      </c>
      <c r="D19" s="21">
        <f>SUMIF('오천읍 세계리'!$C$6:$C$66,"학",'오천읍 세계리'!$E$6:$E$66)</f>
        <v>0</v>
      </c>
      <c r="E19" s="19">
        <f>COUNTIF('오천읍 세계리'!$N$6:$N$300,"학국")</f>
        <v>0</v>
      </c>
      <c r="F19" s="20" t="s">
        <v>5</v>
      </c>
      <c r="G19" s="21">
        <f>SUMIF('오천읍 세계리'!$N$6:$N$66,"학국",'오천읍 세계리'!$E$6:$E$66)</f>
        <v>0</v>
      </c>
      <c r="H19" s="19">
        <f>COUNTIF('오천읍 세계리'!$N$6:$N$66,"학공")</f>
        <v>0</v>
      </c>
      <c r="I19" s="20" t="s">
        <v>5</v>
      </c>
      <c r="J19" s="170">
        <f>SUMIF('오천읍 세계리'!$N$6:$N$66,"학공",'오천읍 세계리'!$E$6:$E$66)</f>
        <v>0</v>
      </c>
      <c r="K19" s="19">
        <f t="shared" si="0"/>
        <v>0</v>
      </c>
      <c r="L19" s="20" t="s">
        <v>5</v>
      </c>
      <c r="M19" s="21">
        <f t="shared" si="1"/>
        <v>0</v>
      </c>
      <c r="N19" s="23"/>
      <c r="O19" s="11"/>
      <c r="P19" s="11"/>
      <c r="Q19" s="11"/>
      <c r="R19" s="11"/>
      <c r="S19" s="11"/>
      <c r="T19" s="11"/>
      <c r="U19" s="11"/>
      <c r="V19" s="11"/>
    </row>
    <row r="20" spans="1:22" s="12" customFormat="1" ht="22.5" customHeight="1">
      <c r="A20" s="22" t="s">
        <v>38</v>
      </c>
      <c r="B20" s="19">
        <f>COUNTIF('오천읍 세계리'!$C$6:$C$253,"철")</f>
        <v>0</v>
      </c>
      <c r="C20" s="20" t="s">
        <v>5</v>
      </c>
      <c r="D20" s="21">
        <f>SUMIF('오천읍 세계리'!$C$6:$C$66,"철",'오천읍 세계리'!$E$6:$E$66)</f>
        <v>0</v>
      </c>
      <c r="E20" s="19">
        <f>COUNTIF('오천읍 세계리'!$N$6:$N$300,"철국")</f>
        <v>0</v>
      </c>
      <c r="F20" s="20" t="s">
        <v>5</v>
      </c>
      <c r="G20" s="21">
        <f>SUMIF('오천읍 세계리'!$N$6:$N$66,"철국",'오천읍 세계리'!$E$6:$E$66)</f>
        <v>0</v>
      </c>
      <c r="H20" s="19">
        <f>COUNTIF('오천읍 세계리'!$N$6:$N$66,"철공")</f>
        <v>0</v>
      </c>
      <c r="I20" s="20" t="s">
        <v>5</v>
      </c>
      <c r="J20" s="170">
        <f>SUMIF('오천읍 세계리'!$N$6:$N$66,"철공",'오천읍 세계리'!$E$6:$E$66)</f>
        <v>0</v>
      </c>
      <c r="K20" s="19">
        <f t="shared" si="0"/>
        <v>0</v>
      </c>
      <c r="L20" s="20" t="s">
        <v>5</v>
      </c>
      <c r="M20" s="21">
        <f t="shared" si="1"/>
        <v>0</v>
      </c>
      <c r="N20" s="23"/>
      <c r="O20" s="11"/>
      <c r="P20" s="11"/>
      <c r="Q20" s="11"/>
      <c r="R20" s="11"/>
      <c r="S20" s="11"/>
      <c r="T20" s="11"/>
      <c r="U20" s="11"/>
      <c r="V20" s="11"/>
    </row>
    <row r="21" spans="1:22" s="12" customFormat="1" ht="22.5" customHeight="1">
      <c r="A21" s="22" t="s">
        <v>16</v>
      </c>
      <c r="B21" s="19">
        <f>COUNTIF('오천읍 세계리'!$C$6:$C$253,"묘")</f>
        <v>0</v>
      </c>
      <c r="C21" s="20" t="s">
        <v>5</v>
      </c>
      <c r="D21" s="21">
        <f>SUMIF('오천읍 세계리'!$C$6:$C$253,"묘",'오천읍 세계리'!$E$6:$E$253)</f>
        <v>0</v>
      </c>
      <c r="E21" s="19">
        <f>COUNTIF('오천읍 세계리'!$N$6:$N$66,"묘국")</f>
        <v>0</v>
      </c>
      <c r="F21" s="20" t="s">
        <v>5</v>
      </c>
      <c r="G21" s="21">
        <f>SUMIF('오천읍 세계리'!$N$6:$N$66,"묘국",'오천읍 세계리'!$E$6:$E$66)</f>
        <v>0</v>
      </c>
      <c r="H21" s="19">
        <f>COUNTIF('오천읍 세계리'!$N$6:$N$66,"묘공")</f>
        <v>0</v>
      </c>
      <c r="I21" s="20" t="s">
        <v>5</v>
      </c>
      <c r="J21" s="170">
        <f>SUMIF('오천읍 세계리'!$N$6:$N$66,"묘공",'오천읍 세계리'!$E$6:$E$66)</f>
        <v>0</v>
      </c>
      <c r="K21" s="19">
        <f t="shared" si="0"/>
        <v>0</v>
      </c>
      <c r="L21" s="20" t="s">
        <v>5</v>
      </c>
      <c r="M21" s="21">
        <f t="shared" si="1"/>
        <v>0</v>
      </c>
      <c r="N21" s="23"/>
      <c r="O21" s="11"/>
      <c r="P21" s="11"/>
      <c r="Q21" s="11"/>
      <c r="R21" s="11"/>
      <c r="S21" s="11"/>
      <c r="T21" s="11"/>
      <c r="U21" s="11"/>
      <c r="V21" s="11"/>
    </row>
    <row r="22" spans="1:22" s="12" customFormat="1" ht="22.5" customHeight="1">
      <c r="A22" s="22" t="s">
        <v>19</v>
      </c>
      <c r="B22" s="19">
        <f>COUNTIF('오천읍 세계리'!$C$6:$C$253,"수")</f>
        <v>0</v>
      </c>
      <c r="C22" s="20" t="s">
        <v>5</v>
      </c>
      <c r="D22" s="21">
        <f>SUMIF('오천읍 세계리'!$C$6:$C$66,"수",'오천읍 세계리'!$E$6:$E$66)</f>
        <v>0</v>
      </c>
      <c r="E22" s="19">
        <f>COUNTIF('오천읍 세계리'!$N$6:$N$66,"수국")</f>
        <v>0</v>
      </c>
      <c r="F22" s="20" t="s">
        <v>5</v>
      </c>
      <c r="G22" s="21">
        <f>SUMIF('오천읍 세계리'!$N$6:$N$66,"수국",'오천읍 세계리'!$E$6:$E$66)</f>
        <v>0</v>
      </c>
      <c r="H22" s="19">
        <f>COUNTIF('오천읍 세계리'!$N$6:$N$66,"수공")</f>
        <v>0</v>
      </c>
      <c r="I22" s="20" t="s">
        <v>5</v>
      </c>
      <c r="J22" s="170">
        <f>SUMIF('오천읍 세계리'!$N$6:$N$66,"수공",'오천읍 세계리'!$E$6:$E$66)</f>
        <v>0</v>
      </c>
      <c r="K22" s="19">
        <f t="shared" si="0"/>
        <v>0</v>
      </c>
      <c r="L22" s="20" t="s">
        <v>5</v>
      </c>
      <c r="M22" s="21">
        <f t="shared" si="1"/>
        <v>0</v>
      </c>
      <c r="N22" s="23"/>
      <c r="O22" s="11"/>
      <c r="P22" s="11"/>
      <c r="Q22" s="11"/>
      <c r="R22" s="11"/>
      <c r="S22" s="11"/>
      <c r="T22" s="11"/>
      <c r="U22" s="11"/>
      <c r="V22" s="11"/>
    </row>
    <row r="23" spans="1:22" s="12" customFormat="1" ht="22.5" customHeight="1">
      <c r="A23" s="22" t="s">
        <v>18</v>
      </c>
      <c r="B23" s="19">
        <f>COUNTIF('오천읍 세계리'!$C$6:$C$253,"잡")</f>
        <v>0</v>
      </c>
      <c r="C23" s="20" t="s">
        <v>5</v>
      </c>
      <c r="D23" s="21">
        <f>SUMIF('오천읍 세계리'!$C$6:$C$253,"잡",'오천읍 세계리'!$E$6:$E$253)</f>
        <v>0</v>
      </c>
      <c r="E23" s="19">
        <f>COUNTIF('오천읍 세계리'!$N$6:$N$66,"잡국")</f>
        <v>0</v>
      </c>
      <c r="F23" s="20" t="s">
        <v>5</v>
      </c>
      <c r="G23" s="21">
        <f>SUMIF('오천읍 세계리'!$N$6:$N$66,"잡국",'오천읍 세계리'!$E$6:$E$66)</f>
        <v>0</v>
      </c>
      <c r="H23" s="19">
        <f>COUNTIF('오천읍 세계리'!$N$6:$N$66,"잡공")</f>
        <v>0</v>
      </c>
      <c r="I23" s="20" t="s">
        <v>5</v>
      </c>
      <c r="J23" s="170">
        <f>SUMIF('오천읍 세계리'!$N$6:$N$66,"잡공",'오천읍 세계리'!$E$6:$E$66)</f>
        <v>0</v>
      </c>
      <c r="K23" s="19">
        <f t="shared" si="0"/>
        <v>0</v>
      </c>
      <c r="L23" s="20" t="s">
        <v>5</v>
      </c>
      <c r="M23" s="21">
        <f t="shared" si="1"/>
        <v>0</v>
      </c>
      <c r="N23" s="23"/>
      <c r="O23" s="11"/>
      <c r="P23" s="11"/>
      <c r="Q23" s="11"/>
      <c r="R23" s="11"/>
      <c r="S23" s="11"/>
      <c r="T23" s="11"/>
      <c r="U23" s="11"/>
      <c r="V23" s="11"/>
    </row>
    <row r="24" spans="1:22" s="12" customFormat="1" ht="22.5" customHeight="1">
      <c r="A24" s="22" t="s">
        <v>39</v>
      </c>
      <c r="B24" s="19">
        <f>COUNTIF('오천읍 세계리'!$C$6:$C$253,"종")</f>
        <v>0</v>
      </c>
      <c r="C24" s="20" t="s">
        <v>5</v>
      </c>
      <c r="D24" s="21">
        <f>SUMIF('오천읍 세계리'!$C$6:$C$66,"종",'오천읍 세계리'!$E$6:$E$66)</f>
        <v>0</v>
      </c>
      <c r="E24" s="19">
        <f>COUNTIF('오천읍 세계리'!$N$6:$N$66,"종국")</f>
        <v>0</v>
      </c>
      <c r="F24" s="20" t="s">
        <v>5</v>
      </c>
      <c r="G24" s="21">
        <f>SUMIF('오천읍 세계리'!$N$6:$N$66,"종국",'오천읍 세계리'!$E$6:$E$66)</f>
        <v>0</v>
      </c>
      <c r="H24" s="19">
        <f>COUNTIF('오천읍 세계리'!$N$6:$N$66,"종공")</f>
        <v>0</v>
      </c>
      <c r="I24" s="20" t="s">
        <v>5</v>
      </c>
      <c r="J24" s="170">
        <f>SUMIF('오천읍 세계리'!$N$6:$N$66,"종공",'오천읍 세계리'!$E$6:$E$66)</f>
        <v>0</v>
      </c>
      <c r="K24" s="19">
        <f t="shared" si="0"/>
        <v>0</v>
      </c>
      <c r="L24" s="20" t="s">
        <v>5</v>
      </c>
      <c r="M24" s="21">
        <f t="shared" si="1"/>
        <v>0</v>
      </c>
      <c r="N24" s="23"/>
      <c r="O24" s="11"/>
      <c r="P24" s="11"/>
      <c r="Q24" s="11"/>
      <c r="R24" s="11"/>
      <c r="S24" s="11"/>
      <c r="T24" s="11"/>
      <c r="U24" s="11"/>
      <c r="V24" s="11"/>
    </row>
    <row r="25" spans="1:22" s="12" customFormat="1" ht="22.5" customHeight="1">
      <c r="A25" s="25" t="s">
        <v>40</v>
      </c>
      <c r="B25" s="19">
        <f>COUNTIF('오천읍 세계리'!$C$6:$C$253,"염")</f>
        <v>0</v>
      </c>
      <c r="C25" s="20" t="s">
        <v>5</v>
      </c>
      <c r="D25" s="21">
        <f>SUMIF('오천읍 세계리'!$C$6:$C$66,"염",'오천읍 세계리'!$E$6:$E$66)</f>
        <v>0</v>
      </c>
      <c r="E25" s="19">
        <f>COUNTIF('오천읍 세계리'!$N$6:$N$66,"염국")</f>
        <v>0</v>
      </c>
      <c r="F25" s="20" t="s">
        <v>5</v>
      </c>
      <c r="G25" s="21">
        <f>SUMIF('오천읍 세계리'!$N$6:$N$66,"염국",'오천읍 세계리'!$E$6:$E$66)</f>
        <v>0</v>
      </c>
      <c r="H25" s="19">
        <f>COUNTIF('오천읍 세계리'!$N$6:$N$66,"염공")</f>
        <v>0</v>
      </c>
      <c r="I25" s="20" t="s">
        <v>5</v>
      </c>
      <c r="J25" s="170">
        <f>SUMIF('오천읍 세계리'!$N$6:$N$66,"염공",'오천읍 세계리'!$E$6:$E$66)</f>
        <v>0</v>
      </c>
      <c r="K25" s="19">
        <f t="shared" si="0"/>
        <v>0</v>
      </c>
      <c r="L25" s="20" t="s">
        <v>5</v>
      </c>
      <c r="M25" s="21">
        <f t="shared" si="1"/>
        <v>0</v>
      </c>
      <c r="N25" s="23"/>
      <c r="O25" s="11"/>
      <c r="P25" s="11"/>
      <c r="Q25" s="11"/>
      <c r="R25" s="11"/>
      <c r="S25" s="11"/>
      <c r="T25" s="11"/>
      <c r="U25" s="11"/>
      <c r="V25" s="11"/>
    </row>
    <row r="26" spans="1:22" s="12" customFormat="1" ht="22.5" customHeight="1">
      <c r="A26" s="25" t="s">
        <v>41</v>
      </c>
      <c r="B26" s="19">
        <f>COUNTIF('오천읍 세계리'!$C$6:$C$253,"공")</f>
        <v>0</v>
      </c>
      <c r="C26" s="20" t="s">
        <v>5</v>
      </c>
      <c r="D26" s="21">
        <f>SUMIF('오천읍 세계리'!$C$6:$C$66,"공",'오천읍 세계리'!$E$6:$E$66)</f>
        <v>0</v>
      </c>
      <c r="E26" s="19">
        <f>COUNTIF('오천읍 세계리'!$N$6:$N$66,"공국")</f>
        <v>0</v>
      </c>
      <c r="F26" s="20" t="s">
        <v>5</v>
      </c>
      <c r="G26" s="21">
        <f>SUMIF('오천읍 세계리'!$N$6:$N$66,"공국",'오천읍 세계리'!$E$6:$E$66)</f>
        <v>0</v>
      </c>
      <c r="H26" s="19">
        <f>COUNTIF('오천읍 세계리'!$N$6:$N$66,"공공")</f>
        <v>0</v>
      </c>
      <c r="I26" s="20" t="s">
        <v>5</v>
      </c>
      <c r="J26" s="170">
        <f>SUMIF('오천읍 세계리'!$N$6:$N$66,"공공",'오천읍 세계리'!$E$6:$E$66)</f>
        <v>0</v>
      </c>
      <c r="K26" s="19">
        <f t="shared" si="0"/>
        <v>0</v>
      </c>
      <c r="L26" s="20" t="s">
        <v>5</v>
      </c>
      <c r="M26" s="21">
        <f t="shared" si="1"/>
        <v>0</v>
      </c>
      <c r="N26" s="23"/>
      <c r="O26" s="11"/>
      <c r="P26" s="11"/>
      <c r="Q26" s="11"/>
      <c r="R26" s="11"/>
      <c r="S26" s="11"/>
      <c r="T26" s="11"/>
      <c r="U26" s="11"/>
      <c r="V26" s="11"/>
    </row>
    <row r="27" spans="1:22" s="12" customFormat="1" ht="22.5" customHeight="1">
      <c r="A27" s="25" t="s">
        <v>42</v>
      </c>
      <c r="B27" s="19">
        <f>COUNTIF('오천읍 세계리'!$C$6:$C$253,"체")</f>
        <v>0</v>
      </c>
      <c r="C27" s="20" t="s">
        <v>5</v>
      </c>
      <c r="D27" s="21">
        <f>SUMIF('오천읍 세계리'!$C$6:$C$66,"체",'오천읍 세계리'!$E$6:$E$66)</f>
        <v>0</v>
      </c>
      <c r="E27" s="19">
        <f>COUNTIF('오천읍 세계리'!$N$6:$N$66,"체국")</f>
        <v>0</v>
      </c>
      <c r="F27" s="20" t="s">
        <v>5</v>
      </c>
      <c r="G27" s="21">
        <f>SUMIF('오천읍 세계리'!$N$6:$N$66,"체국",'오천읍 세계리'!$E$6:$E$66)</f>
        <v>0</v>
      </c>
      <c r="H27" s="19">
        <f>COUNTIF('오천읍 세계리'!$N$6:$N$66,"체공")</f>
        <v>0</v>
      </c>
      <c r="I27" s="20" t="s">
        <v>5</v>
      </c>
      <c r="J27" s="170">
        <f>SUMIF('오천읍 세계리'!$N$6:$N$66,"체공",'오천읍 세계리'!$E$6:$E$66)</f>
        <v>0</v>
      </c>
      <c r="K27" s="19">
        <f t="shared" si="0"/>
        <v>0</v>
      </c>
      <c r="L27" s="20" t="s">
        <v>5</v>
      </c>
      <c r="M27" s="21">
        <f t="shared" si="1"/>
        <v>0</v>
      </c>
      <c r="N27" s="23"/>
      <c r="O27" s="11"/>
      <c r="P27" s="11"/>
      <c r="Q27" s="11"/>
      <c r="R27" s="11"/>
      <c r="S27" s="11"/>
      <c r="T27" s="11"/>
      <c r="U27" s="11"/>
      <c r="V27" s="11"/>
    </row>
    <row r="28" spans="1:22" s="12" customFormat="1" ht="22.5" customHeight="1">
      <c r="A28" s="25" t="s">
        <v>43</v>
      </c>
      <c r="B28" s="19">
        <f>COUNTIF('오천읍 세계리'!$C$6:$C$253,"원")</f>
        <v>0</v>
      </c>
      <c r="C28" s="20" t="s">
        <v>5</v>
      </c>
      <c r="D28" s="21">
        <f>SUMIF('오천읍 세계리'!$C$6:$C$66,"원",'오천읍 세계리'!$E$6:$E$66)</f>
        <v>0</v>
      </c>
      <c r="E28" s="19">
        <f>COUNTIF('오천읍 세계리'!$N$6:$N$66,"원국")</f>
        <v>0</v>
      </c>
      <c r="F28" s="20" t="s">
        <v>5</v>
      </c>
      <c r="G28" s="21">
        <f>SUMIF('오천읍 세계리'!$N$6:$N$66,"원국",'오천읍 세계리'!$E$6:$E$66)</f>
        <v>0</v>
      </c>
      <c r="H28" s="19">
        <f>COUNTIF('오천읍 세계리'!$N$6:$N$66,"원공")</f>
        <v>0</v>
      </c>
      <c r="I28" s="20" t="s">
        <v>5</v>
      </c>
      <c r="J28" s="170">
        <f>SUMIF('오천읍 세계리'!$N$6:$N$66,"원공",'오천읍 세계리'!$E$6:$E$66)</f>
        <v>0</v>
      </c>
      <c r="K28" s="19">
        <f t="shared" si="0"/>
        <v>0</v>
      </c>
      <c r="L28" s="20" t="s">
        <v>5</v>
      </c>
      <c r="M28" s="21">
        <f t="shared" si="1"/>
        <v>0</v>
      </c>
      <c r="N28" s="23"/>
      <c r="O28" s="11"/>
      <c r="P28" s="11"/>
      <c r="Q28" s="11"/>
      <c r="R28" s="11"/>
      <c r="S28" s="11"/>
      <c r="T28" s="11"/>
      <c r="U28" s="11"/>
      <c r="V28" s="11"/>
    </row>
    <row r="29" spans="1:22" s="12" customFormat="1" ht="22.5" customHeight="1">
      <c r="A29" s="25" t="s">
        <v>1</v>
      </c>
      <c r="B29" s="19">
        <f>COUNTIF('오천읍 세계리'!$C$6:$C$253,"창")</f>
        <v>0</v>
      </c>
      <c r="C29" s="20" t="s">
        <v>5</v>
      </c>
      <c r="D29" s="21">
        <f>SUMIF('오천읍 세계리'!$C$6:$C$253,"창",'오천읍 세계리'!$E$6:$E$253)</f>
        <v>0</v>
      </c>
      <c r="E29" s="19">
        <f>COUNTIF('오천읍 세계리'!$N$6:$N$66,"창국")</f>
        <v>0</v>
      </c>
      <c r="F29" s="20" t="s">
        <v>5</v>
      </c>
      <c r="G29" s="21">
        <f>SUMIF('오천읍 세계리'!$N$6:$N$66,"창국",'오천읍 세계리'!$E$6:$E$66)</f>
        <v>0</v>
      </c>
      <c r="H29" s="19">
        <f>COUNTIF('오천읍 세계리'!$N$6:$N$66,"창공")</f>
        <v>0</v>
      </c>
      <c r="I29" s="20" t="s">
        <v>5</v>
      </c>
      <c r="J29" s="170">
        <f>SUMIF('오천읍 세계리'!$N$6:$N$66,"창공",'오천읍 세계리'!$E$6:$E$66)</f>
        <v>0</v>
      </c>
      <c r="K29" s="19">
        <f t="shared" si="0"/>
        <v>0</v>
      </c>
      <c r="L29" s="20" t="s">
        <v>5</v>
      </c>
      <c r="M29" s="21">
        <f t="shared" si="1"/>
        <v>0</v>
      </c>
      <c r="N29" s="23"/>
      <c r="O29" s="11"/>
      <c r="P29" s="11"/>
      <c r="Q29" s="11"/>
      <c r="R29" s="11"/>
      <c r="S29" s="11"/>
      <c r="T29" s="11"/>
      <c r="U29" s="11"/>
      <c r="V29" s="11"/>
    </row>
    <row r="30" spans="1:22" s="12" customFormat="1" ht="22.5" customHeight="1">
      <c r="A30" s="25" t="s">
        <v>274</v>
      </c>
      <c r="B30" s="19">
        <f>COUNTIF('오천읍 세계리'!$C$6:$C$253,"주")</f>
        <v>0</v>
      </c>
      <c r="C30" s="20" t="s">
        <v>5</v>
      </c>
      <c r="D30" s="21">
        <f>SUMIF('오천읍 세계리'!$C$6:$C$66,"주",'오천읍 세계리'!$E$6:$E$66)</f>
        <v>0</v>
      </c>
      <c r="E30" s="19">
        <f>COUNTIF('오천읍 세계리'!$N$6:$N$66,"주국")</f>
        <v>0</v>
      </c>
      <c r="F30" s="20" t="s">
        <v>5</v>
      </c>
      <c r="G30" s="21">
        <f>SUMIF('오천읍 세계리'!$N$6:$N$66,"주국",'오천읍 세계리'!$E$6:$E$66)</f>
        <v>0</v>
      </c>
      <c r="H30" s="19">
        <f>COUNTIF('오천읍 세계리'!$N$6:$N$66,"주공")</f>
        <v>0</v>
      </c>
      <c r="I30" s="20" t="s">
        <v>5</v>
      </c>
      <c r="J30" s="170">
        <f>SUMIF('오천읍 세계리'!$N$6:$N$66,"주공",'오천읍 세계리'!$E$6:$E$66)</f>
        <v>0</v>
      </c>
      <c r="K30" s="19">
        <f t="shared" si="0"/>
        <v>0</v>
      </c>
      <c r="L30" s="20" t="s">
        <v>5</v>
      </c>
      <c r="M30" s="21">
        <f t="shared" si="1"/>
        <v>0</v>
      </c>
      <c r="N30" s="23"/>
      <c r="O30" s="11"/>
      <c r="P30" s="11"/>
      <c r="Q30" s="11"/>
      <c r="R30" s="11"/>
      <c r="S30" s="11"/>
      <c r="T30" s="11"/>
      <c r="U30" s="11"/>
      <c r="V30" s="11"/>
    </row>
    <row r="31" spans="1:22" s="12" customFormat="1" ht="22.5" customHeight="1">
      <c r="A31" s="26" t="s">
        <v>54</v>
      </c>
      <c r="B31" s="27">
        <f>COUNTIF('오천읍 세계리'!$C$6:$C$253," ")</f>
        <v>0</v>
      </c>
      <c r="C31" s="28" t="s">
        <v>5</v>
      </c>
      <c r="D31" s="29">
        <f>SUMIF('오천읍 세계리'!$C$6:$C$66," ",'오천읍 세계리'!$E$6:$E$66)</f>
        <v>0</v>
      </c>
      <c r="E31" s="27">
        <f>COUNTIF('오천읍 세계리'!$N$6:$N$66," 국")</f>
        <v>0</v>
      </c>
      <c r="F31" s="28" t="s">
        <v>5</v>
      </c>
      <c r="G31" s="29">
        <f>SUMIF('오천읍 세계리'!$N$6:$N$66," 국",'오천읍 세계리'!$E$6:$E$66)</f>
        <v>0</v>
      </c>
      <c r="H31" s="27">
        <f>COUNTIF('오천읍 세계리'!$N$6:$N$66," 공")</f>
        <v>0</v>
      </c>
      <c r="I31" s="28" t="s">
        <v>5</v>
      </c>
      <c r="J31" s="171">
        <f>SUMIF('오천읍 세계리'!$N$6:$N$66," 공",'오천읍 세계리'!$E$6:$E$66)</f>
        <v>0</v>
      </c>
      <c r="K31" s="27">
        <f>B31-E31-H31</f>
        <v>0</v>
      </c>
      <c r="L31" s="28" t="s">
        <v>5</v>
      </c>
      <c r="M31" s="29">
        <f>D31-G31-J31</f>
        <v>0</v>
      </c>
      <c r="N31" s="30"/>
      <c r="O31" s="11"/>
      <c r="P31" s="11"/>
      <c r="Q31" s="11"/>
      <c r="R31" s="11"/>
      <c r="S31" s="11"/>
      <c r="T31" s="11"/>
      <c r="U31" s="11"/>
      <c r="V31" s="11"/>
    </row>
    <row r="32" spans="1:14" s="10" customFormat="1" ht="19.5" customHeight="1">
      <c r="A32" s="15">
        <f>IF(EXACT(O36,O37),,"검산확인요!!!")</f>
        <v>0</v>
      </c>
      <c r="B32" s="16"/>
      <c r="C32" s="16"/>
      <c r="D32" s="16"/>
      <c r="E32" s="16"/>
      <c r="F32" s="16"/>
      <c r="G32" s="16"/>
      <c r="H32" s="16"/>
      <c r="I32" s="16"/>
      <c r="J32" s="172"/>
      <c r="K32" s="208" t="str">
        <f>IF(ISBLANK('장기면 정천리'!K2),,'장기면 정천리'!K2)</f>
        <v>장기면 정천리</v>
      </c>
      <c r="L32" s="208"/>
      <c r="M32" s="208"/>
      <c r="N32" s="208"/>
    </row>
    <row r="33" spans="1:14" s="10" customFormat="1" ht="9.75" customHeight="1">
      <c r="A33" s="15"/>
      <c r="B33" s="16"/>
      <c r="C33" s="16"/>
      <c r="D33" s="16"/>
      <c r="E33" s="16"/>
      <c r="F33" s="16"/>
      <c r="G33" s="16"/>
      <c r="H33" s="16"/>
      <c r="I33" s="16"/>
      <c r="J33" s="172"/>
      <c r="K33" s="16"/>
      <c r="L33" s="16"/>
      <c r="M33" s="16"/>
      <c r="N33" s="16"/>
    </row>
    <row r="34" spans="1:22" s="12" customFormat="1" ht="27.75" customHeight="1">
      <c r="A34" s="31" t="s">
        <v>2</v>
      </c>
      <c r="B34" s="32" t="s">
        <v>3</v>
      </c>
      <c r="C34" s="33"/>
      <c r="D34" s="34"/>
      <c r="E34" s="32" t="s">
        <v>44</v>
      </c>
      <c r="F34" s="33"/>
      <c r="G34" s="34"/>
      <c r="H34" s="32" t="s">
        <v>55</v>
      </c>
      <c r="I34" s="33"/>
      <c r="J34" s="166"/>
      <c r="K34" s="32" t="s">
        <v>45</v>
      </c>
      <c r="L34" s="33"/>
      <c r="M34" s="34"/>
      <c r="N34" s="35" t="s">
        <v>21</v>
      </c>
      <c r="O34" s="11"/>
      <c r="S34" s="11"/>
      <c r="T34" s="11"/>
      <c r="U34" s="11"/>
      <c r="V34" s="11"/>
    </row>
    <row r="35" spans="1:22" s="12" customFormat="1" ht="27.75" customHeight="1" thickBot="1">
      <c r="A35" s="37"/>
      <c r="B35" s="38" t="s">
        <v>4</v>
      </c>
      <c r="C35" s="39" t="s">
        <v>5</v>
      </c>
      <c r="D35" s="40" t="s">
        <v>46</v>
      </c>
      <c r="E35" s="38" t="s">
        <v>4</v>
      </c>
      <c r="F35" s="39" t="s">
        <v>5</v>
      </c>
      <c r="G35" s="41" t="s">
        <v>56</v>
      </c>
      <c r="H35" s="38" t="s">
        <v>4</v>
      </c>
      <c r="I35" s="39" t="s">
        <v>5</v>
      </c>
      <c r="J35" s="167" t="s">
        <v>56</v>
      </c>
      <c r="K35" s="38" t="s">
        <v>4</v>
      </c>
      <c r="L35" s="39" t="s">
        <v>5</v>
      </c>
      <c r="M35" s="41" t="s">
        <v>56</v>
      </c>
      <c r="N35" s="42"/>
      <c r="P35" s="11"/>
      <c r="Q35" s="13" t="s">
        <v>47</v>
      </c>
      <c r="R35" s="13" t="s">
        <v>48</v>
      </c>
      <c r="S35" s="13" t="s">
        <v>49</v>
      </c>
      <c r="T35" s="13" t="s">
        <v>50</v>
      </c>
      <c r="U35" s="11"/>
      <c r="V35" s="11"/>
    </row>
    <row r="36" spans="1:22" s="12" customFormat="1" ht="22.5" customHeight="1" thickTop="1">
      <c r="A36" s="46" t="s">
        <v>3</v>
      </c>
      <c r="B36" s="47">
        <f>SUM(B37:B61)</f>
        <v>206</v>
      </c>
      <c r="C36" s="48" t="s">
        <v>5</v>
      </c>
      <c r="D36" s="49">
        <f>SUM(D37:D61)</f>
        <v>113486</v>
      </c>
      <c r="E36" s="47">
        <f>SUM(E37:E61)</f>
        <v>16</v>
      </c>
      <c r="F36" s="48" t="s">
        <v>5</v>
      </c>
      <c r="G36" s="49">
        <f>SUM(G37:G61)</f>
        <v>14895</v>
      </c>
      <c r="H36" s="47">
        <f>SUM(H37:H61)</f>
        <v>44</v>
      </c>
      <c r="I36" s="48" t="s">
        <v>5</v>
      </c>
      <c r="J36" s="168">
        <f>SUM(J37:J61)</f>
        <v>20770</v>
      </c>
      <c r="K36" s="47">
        <f>SUM(K37:K61)</f>
        <v>146</v>
      </c>
      <c r="L36" s="48" t="s">
        <v>5</v>
      </c>
      <c r="M36" s="49">
        <f>SUM(M37:M61)</f>
        <v>77821</v>
      </c>
      <c r="N36" s="50"/>
      <c r="O36" s="11" t="str">
        <f>IF(EXACT(Q36,T36),"맞음","틀림")</f>
        <v>틀림</v>
      </c>
      <c r="P36" s="11" t="s">
        <v>4</v>
      </c>
      <c r="Q36" s="14">
        <f>SUM(B37:B61)</f>
        <v>206</v>
      </c>
      <c r="R36" s="14">
        <f>SUM(E37:E61)</f>
        <v>16</v>
      </c>
      <c r="S36" s="14">
        <f>SUM(K37:K61)</f>
        <v>146</v>
      </c>
      <c r="T36" s="14">
        <f>K36+E36</f>
        <v>162</v>
      </c>
      <c r="U36" s="11"/>
      <c r="V36" s="11"/>
    </row>
    <row r="37" spans="1:22" s="12" customFormat="1" ht="22.5" customHeight="1">
      <c r="A37" s="43" t="s">
        <v>6</v>
      </c>
      <c r="B37" s="17">
        <f>COUNTIF('장기면 정천리'!$C$6:$C$256,"전")</f>
        <v>56</v>
      </c>
      <c r="C37" s="44" t="s">
        <v>5</v>
      </c>
      <c r="D37" s="18">
        <f>SUMIF('장기면 정천리'!$C$6:$C$256,"전",'장기면 정천리'!$E$6:$E$256)</f>
        <v>25500</v>
      </c>
      <c r="E37" s="17">
        <f>COUNTIF('장기면 정천리'!$N$6:$N$256,"전국")</f>
        <v>3</v>
      </c>
      <c r="F37" s="44" t="s">
        <v>5</v>
      </c>
      <c r="G37" s="18">
        <f>SUMIF('장기면 정천리'!$N$6:$N$256,"전국",'장기면 정천리'!$E$6:$E$256)</f>
        <v>124</v>
      </c>
      <c r="H37" s="17">
        <f>COUNTIF('장기면 정천리'!$N$6:$N$256,"전공")</f>
        <v>12</v>
      </c>
      <c r="I37" s="44" t="s">
        <v>5</v>
      </c>
      <c r="J37" s="169">
        <f>SUMIF('장기면 정천리'!$N$6:$N$256,"전공",'장기면 정천리'!$E$6:$E$256)</f>
        <v>3429</v>
      </c>
      <c r="K37" s="17">
        <f>B37-E37-H37</f>
        <v>41</v>
      </c>
      <c r="L37" s="44" t="s">
        <v>5</v>
      </c>
      <c r="M37" s="18">
        <f>D37-G37-J37</f>
        <v>21947</v>
      </c>
      <c r="N37" s="45"/>
      <c r="O37" s="11" t="str">
        <f>IF(EXACT(Q37,T37),"맞음","틀림")</f>
        <v>틀림</v>
      </c>
      <c r="P37" s="11" t="s">
        <v>51</v>
      </c>
      <c r="Q37" s="14">
        <f>SUM(D37:D61)</f>
        <v>113486</v>
      </c>
      <c r="R37" s="14">
        <f>SUM(G37:G61)</f>
        <v>14895</v>
      </c>
      <c r="S37" s="14">
        <f>SUM(M37:M61)</f>
        <v>77821</v>
      </c>
      <c r="T37" s="14">
        <f>G36+M36</f>
        <v>92716</v>
      </c>
      <c r="U37" s="11"/>
      <c r="V37" s="11"/>
    </row>
    <row r="38" spans="1:22" s="12" customFormat="1" ht="22.5" customHeight="1">
      <c r="A38" s="22" t="s">
        <v>7</v>
      </c>
      <c r="B38" s="19">
        <f>COUNTIF('장기면 정천리'!$C$6:$C$256,"답")</f>
        <v>43</v>
      </c>
      <c r="C38" s="20" t="s">
        <v>5</v>
      </c>
      <c r="D38" s="21">
        <f>SUMIF('장기면 정천리'!$C$6:$C$256,"답",'장기면 정천리'!$E$6:$E$256)</f>
        <v>13177</v>
      </c>
      <c r="E38" s="19">
        <f>COUNTIF('장기면 정천리'!$N$6:$N$256,"답국")</f>
        <v>0</v>
      </c>
      <c r="F38" s="20" t="s">
        <v>5</v>
      </c>
      <c r="G38" s="21">
        <f>SUMIF('장기면 정천리'!$N$6:$N$256,"답국",'장기면 정천리'!$E$6:$E$256)</f>
        <v>0</v>
      </c>
      <c r="H38" s="19">
        <f>COUNTIF('장기면 정천리'!$N$6:$N$256,"답공")</f>
        <v>9</v>
      </c>
      <c r="I38" s="20" t="s">
        <v>5</v>
      </c>
      <c r="J38" s="170">
        <f>SUMIF('장기면 정천리'!$N$6:$N$256,"답공",'장기면 정천리'!$E$6:$E$256)</f>
        <v>3031</v>
      </c>
      <c r="K38" s="19">
        <f aca="true" t="shared" si="2" ref="K38:K60">B38-E38-H38</f>
        <v>34</v>
      </c>
      <c r="L38" s="20" t="s">
        <v>5</v>
      </c>
      <c r="M38" s="21">
        <f aca="true" t="shared" si="3" ref="M38:M60">D38-G38-J38</f>
        <v>10146</v>
      </c>
      <c r="N38" s="23"/>
      <c r="Q38" s="11"/>
      <c r="S38" s="11"/>
      <c r="U38" s="11"/>
      <c r="V38" s="11"/>
    </row>
    <row r="39" spans="1:22" s="12" customFormat="1" ht="22.5" customHeight="1">
      <c r="A39" s="24" t="s">
        <v>8</v>
      </c>
      <c r="B39" s="19">
        <f>COUNTIF('장기면 정천리'!$C$6:$C$256,"임")</f>
        <v>75</v>
      </c>
      <c r="C39" s="20" t="s">
        <v>5</v>
      </c>
      <c r="D39" s="21">
        <f>SUMIF('장기면 정천리'!$C$6:$C$256,"임",'장기면 정천리'!$E$6:$E$256)</f>
        <v>58886</v>
      </c>
      <c r="E39" s="19">
        <f>COUNTIF('장기면 정천리'!$N$6:$N$256,"임국")</f>
        <v>7</v>
      </c>
      <c r="F39" s="20" t="s">
        <v>5</v>
      </c>
      <c r="G39" s="21">
        <f>SUMIF('장기면 정천리'!$N$6:$N$256,"임국",'장기면 정천리'!$E$6:$E$256)</f>
        <v>8213</v>
      </c>
      <c r="H39" s="19">
        <f>COUNTIF('장기면 정천리'!$N$6:$N$256,"임공")</f>
        <v>12</v>
      </c>
      <c r="I39" s="20" t="s">
        <v>5</v>
      </c>
      <c r="J39" s="170">
        <f>SUMIF('장기면 정천리'!$N$6:$N$256,"임공",'장기면 정천리'!$E$6:$E$256)</f>
        <v>8827</v>
      </c>
      <c r="K39" s="19">
        <f t="shared" si="2"/>
        <v>56</v>
      </c>
      <c r="L39" s="20" t="s">
        <v>5</v>
      </c>
      <c r="M39" s="21">
        <f t="shared" si="3"/>
        <v>41846</v>
      </c>
      <c r="N39" s="23"/>
      <c r="Q39" s="11"/>
      <c r="S39" s="11"/>
      <c r="U39" s="11"/>
      <c r="V39" s="11"/>
    </row>
    <row r="40" spans="1:22" s="12" customFormat="1" ht="22.5" customHeight="1">
      <c r="A40" s="22" t="s">
        <v>9</v>
      </c>
      <c r="B40" s="19">
        <f>COUNTIF('장기면 정천리'!$C$6:$C$256,"대")</f>
        <v>8</v>
      </c>
      <c r="C40" s="20" t="s">
        <v>5</v>
      </c>
      <c r="D40" s="21">
        <f>SUMIF('장기면 정천리'!$C$6:$C$256,"대",'장기면 정천리'!$E$6:$E$256)</f>
        <v>1435</v>
      </c>
      <c r="E40" s="19">
        <f>COUNTIF('장기면 정천리'!$N$6:$N$256,"대국")</f>
        <v>0</v>
      </c>
      <c r="F40" s="20" t="s">
        <v>5</v>
      </c>
      <c r="G40" s="21">
        <f>SUMIF('장기면 정천리'!$N$6:$N$256,"대국",'장기면 정천리'!$E$6:$E$256)</f>
        <v>0</v>
      </c>
      <c r="H40" s="19">
        <f>COUNTIF('장기면 정천리'!$N$6:$N$256,"대공")</f>
        <v>3</v>
      </c>
      <c r="I40" s="20" t="s">
        <v>5</v>
      </c>
      <c r="J40" s="170">
        <f>SUMIF('장기면 정천리'!$N$6:$N$256,"대공",'장기면 정천리'!$E$6:$E$256)</f>
        <v>354</v>
      </c>
      <c r="K40" s="19">
        <f t="shared" si="2"/>
        <v>5</v>
      </c>
      <c r="L40" s="20" t="s">
        <v>5</v>
      </c>
      <c r="M40" s="21">
        <f t="shared" si="3"/>
        <v>1081</v>
      </c>
      <c r="N40" s="23"/>
      <c r="O40" s="11"/>
      <c r="P40" s="11"/>
      <c r="Q40" s="11"/>
      <c r="R40" s="11"/>
      <c r="S40" s="11"/>
      <c r="T40" s="11"/>
      <c r="U40" s="11"/>
      <c r="V40" s="11"/>
    </row>
    <row r="41" spans="1:22" s="12" customFormat="1" ht="22.5" customHeight="1">
      <c r="A41" s="22" t="s">
        <v>10</v>
      </c>
      <c r="B41" s="19">
        <f>COUNTIF('장기면 정천리'!$C$6:$C$256,"도")</f>
        <v>11</v>
      </c>
      <c r="C41" s="20" t="s">
        <v>5</v>
      </c>
      <c r="D41" s="21">
        <f>SUMIF('장기면 정천리'!$C$6:$C$256,"도",'장기면 정천리'!$E$6:$E$256)</f>
        <v>7123</v>
      </c>
      <c r="E41" s="19">
        <f>COUNTIF('장기면 정천리'!$N$6:$N$256,"도국")</f>
        <v>4</v>
      </c>
      <c r="F41" s="20" t="s">
        <v>5</v>
      </c>
      <c r="G41" s="21">
        <f>SUMIF('장기면 정천리'!$N$6:$N$256,"도국",'장기면 정천리'!$E$6:$E$256)</f>
        <v>5920</v>
      </c>
      <c r="H41" s="19">
        <f>COUNTIF('장기면 정천리'!$N$6:$N$256,"도공")</f>
        <v>4</v>
      </c>
      <c r="I41" s="20" t="s">
        <v>5</v>
      </c>
      <c r="J41" s="170">
        <f>SUMIF('장기면 정천리'!$N$6:$N$256,"도공",'장기면 정천리'!$E$6:$E$256)</f>
        <v>703</v>
      </c>
      <c r="K41" s="19">
        <f t="shared" si="2"/>
        <v>3</v>
      </c>
      <c r="L41" s="20" t="s">
        <v>5</v>
      </c>
      <c r="M41" s="21">
        <f t="shared" si="3"/>
        <v>500</v>
      </c>
      <c r="N41" s="23"/>
      <c r="O41" s="11"/>
      <c r="P41" s="11"/>
      <c r="Q41" s="11"/>
      <c r="R41" s="11"/>
      <c r="S41" s="11"/>
      <c r="T41" s="11"/>
      <c r="U41" s="11"/>
      <c r="V41" s="11"/>
    </row>
    <row r="42" spans="1:22" s="12" customFormat="1" ht="22.5" customHeight="1">
      <c r="A42" s="22" t="s">
        <v>12</v>
      </c>
      <c r="B42" s="19">
        <f>COUNTIF('장기면 정천리'!$C$6:$C$256,"구")</f>
        <v>0</v>
      </c>
      <c r="C42" s="20" t="s">
        <v>5</v>
      </c>
      <c r="D42" s="21">
        <f>SUMIF('장기면 정천리'!$C$6:$C$256,"구",'장기면 정천리'!$E$6:$E$256)</f>
        <v>0</v>
      </c>
      <c r="E42" s="19">
        <f>COUNTIF('장기면 정천리'!$N$6:$N$256,"구국")</f>
        <v>0</v>
      </c>
      <c r="F42" s="20" t="s">
        <v>5</v>
      </c>
      <c r="G42" s="21">
        <f>SUMIF('장기면 정천리'!$N$6:$N$256,"구국",'장기면 정천리'!$E$6:$E$256)</f>
        <v>0</v>
      </c>
      <c r="H42" s="19">
        <f>COUNTIF('장기면 정천리'!$N$6:$N$256,"구공")</f>
        <v>0</v>
      </c>
      <c r="I42" s="20" t="s">
        <v>5</v>
      </c>
      <c r="J42" s="170">
        <f>SUMIF('장기면 정천리'!$N$6:$N$256,"구공",'장기면 정천리'!$E$6:$E$256)</f>
        <v>0</v>
      </c>
      <c r="K42" s="19">
        <f t="shared" si="2"/>
        <v>0</v>
      </c>
      <c r="L42" s="20" t="s">
        <v>5</v>
      </c>
      <c r="M42" s="21">
        <f t="shared" si="3"/>
        <v>0</v>
      </c>
      <c r="N42" s="23"/>
      <c r="O42" s="11"/>
      <c r="P42" s="11"/>
      <c r="Q42" s="11"/>
      <c r="R42" s="11"/>
      <c r="S42" s="11"/>
      <c r="T42" s="11"/>
      <c r="U42" s="11"/>
      <c r="V42" s="11"/>
    </row>
    <row r="43" spans="1:22" s="12" customFormat="1" ht="22.5" customHeight="1">
      <c r="A43" s="22" t="s">
        <v>11</v>
      </c>
      <c r="B43" s="19">
        <f>COUNTIF('장기면 정천리'!$C$6:$C$256,"천")</f>
        <v>2</v>
      </c>
      <c r="C43" s="20" t="s">
        <v>5</v>
      </c>
      <c r="D43" s="21">
        <f>SUMIF('장기면 정천리'!$C$6:$C$256,"천",'장기면 정천리'!$E$6:$E$256)</f>
        <v>638</v>
      </c>
      <c r="E43" s="19">
        <f>COUNTIF('장기면 정천리'!$N$6:$N$256,"천국")</f>
        <v>2</v>
      </c>
      <c r="F43" s="20" t="s">
        <v>5</v>
      </c>
      <c r="G43" s="21">
        <f>SUMIF('장기면 정천리'!$N$6:$N$256,"천국",'장기면 정천리'!$E$6:$E$256)</f>
        <v>638</v>
      </c>
      <c r="H43" s="19">
        <f>COUNTIF('장기면 정천리'!$N$6:$N$256,"천공")</f>
        <v>0</v>
      </c>
      <c r="I43" s="20" t="s">
        <v>5</v>
      </c>
      <c r="J43" s="170">
        <f>SUMIF('장기면 정천리'!$N$6:$N$256,"천공",'장기면 정천리'!$E$6:$E$256)</f>
        <v>0</v>
      </c>
      <c r="K43" s="19">
        <f t="shared" si="2"/>
        <v>0</v>
      </c>
      <c r="L43" s="20" t="s">
        <v>5</v>
      </c>
      <c r="M43" s="21">
        <f t="shared" si="3"/>
        <v>0</v>
      </c>
      <c r="N43" s="23"/>
      <c r="O43" s="11"/>
      <c r="P43" s="11"/>
      <c r="Q43" s="11"/>
      <c r="R43" s="11"/>
      <c r="S43" s="11"/>
      <c r="T43" s="11"/>
      <c r="U43" s="11"/>
      <c r="V43" s="11"/>
    </row>
    <row r="44" spans="1:22" s="12" customFormat="1" ht="22.5" customHeight="1">
      <c r="A44" s="22" t="s">
        <v>14</v>
      </c>
      <c r="B44" s="19">
        <f>COUNTIF('장기면 정천리'!$C$6:$C$256,"유")</f>
        <v>0</v>
      </c>
      <c r="C44" s="20" t="s">
        <v>5</v>
      </c>
      <c r="D44" s="21">
        <f>SUMIF('장기면 정천리'!$C$6:$C$256,"유",'장기면 정천리'!$E$6:$E$256)</f>
        <v>0</v>
      </c>
      <c r="E44" s="19">
        <f>COUNTIF('장기면 정천리'!$N$6:$N$256,"유국")</f>
        <v>0</v>
      </c>
      <c r="F44" s="20" t="s">
        <v>5</v>
      </c>
      <c r="G44" s="21">
        <f>SUMIF('장기면 정천리'!$N$6:$N$256,"유국",'장기면 정천리'!$E$6:$E$256)</f>
        <v>0</v>
      </c>
      <c r="H44" s="19">
        <f>COUNTIF('장기면 정천리'!$N$6:$N$256,"유공")</f>
        <v>0</v>
      </c>
      <c r="I44" s="20" t="s">
        <v>5</v>
      </c>
      <c r="J44" s="170">
        <f>SUMIF('장기면 정천리'!$N$6:$N$256,"유공",'장기면 정천리'!$E$6:$E$256)</f>
        <v>0</v>
      </c>
      <c r="K44" s="19">
        <f t="shared" si="2"/>
        <v>0</v>
      </c>
      <c r="L44" s="20" t="s">
        <v>5</v>
      </c>
      <c r="M44" s="21">
        <f t="shared" si="3"/>
        <v>0</v>
      </c>
      <c r="N44" s="23"/>
      <c r="O44" s="11"/>
      <c r="P44" s="11"/>
      <c r="Q44" s="11"/>
      <c r="R44" s="11"/>
      <c r="S44" s="11"/>
      <c r="T44" s="11"/>
      <c r="U44" s="11"/>
      <c r="V44" s="11"/>
    </row>
    <row r="45" spans="1:22" s="12" customFormat="1" ht="22.5" customHeight="1">
      <c r="A45" s="22" t="s">
        <v>13</v>
      </c>
      <c r="B45" s="19">
        <f>COUNTIF('장기면 정천리'!$C$6:$C$256,"제")</f>
        <v>0</v>
      </c>
      <c r="C45" s="20" t="s">
        <v>5</v>
      </c>
      <c r="D45" s="21">
        <f>SUMIF('장기면 정천리'!$C$6:$C$256,"제",'장기면 정천리'!$E$6:$E$256)</f>
        <v>0</v>
      </c>
      <c r="E45" s="19">
        <f>COUNTIF('장기면 정천리'!$N$6:$N$256,"제국")</f>
        <v>0</v>
      </c>
      <c r="F45" s="20" t="s">
        <v>5</v>
      </c>
      <c r="G45" s="21">
        <f>SUMIF('장기면 정천리'!$N$6:$N$256,"제국",'장기면 정천리'!$E$6:$E$256)</f>
        <v>0</v>
      </c>
      <c r="H45" s="19">
        <f>COUNTIF('장기면 정천리'!$N$6:$N$256,"제공")</f>
        <v>0</v>
      </c>
      <c r="I45" s="20" t="s">
        <v>5</v>
      </c>
      <c r="J45" s="170">
        <f>SUMIF('장기면 정천리'!$N$6:$N$256,"제공",'장기면 정천리'!$E$6:$E$256)</f>
        <v>0</v>
      </c>
      <c r="K45" s="19">
        <f t="shared" si="2"/>
        <v>0</v>
      </c>
      <c r="L45" s="20" t="s">
        <v>5</v>
      </c>
      <c r="M45" s="21">
        <f t="shared" si="3"/>
        <v>0</v>
      </c>
      <c r="N45" s="23"/>
      <c r="O45" s="11"/>
      <c r="P45" s="11"/>
      <c r="Q45" s="11"/>
      <c r="R45" s="11"/>
      <c r="S45" s="11"/>
      <c r="T45" s="11"/>
      <c r="U45" s="11"/>
      <c r="V45" s="11"/>
    </row>
    <row r="46" spans="1:22" s="12" customFormat="1" ht="22.5" customHeight="1">
      <c r="A46" s="22" t="s">
        <v>15</v>
      </c>
      <c r="B46" s="19">
        <f>COUNTIF('장기면 정천리'!$C$6:$C$256,"과")</f>
        <v>0</v>
      </c>
      <c r="C46" s="20" t="s">
        <v>5</v>
      </c>
      <c r="D46" s="21">
        <f>SUMIF('장기면 정천리'!$C$6:$C$256,"과",'장기면 정천리'!$E$6:$E$256)</f>
        <v>0</v>
      </c>
      <c r="E46" s="19">
        <f>COUNTIF('장기면 정천리'!$N$6:$N$256,"과국")</f>
        <v>0</v>
      </c>
      <c r="F46" s="20" t="s">
        <v>5</v>
      </c>
      <c r="G46" s="21">
        <f>SUMIF('장기면 정천리'!$N$6:$N$256,"과국",'장기면 정천리'!$E$6:$E$256)</f>
        <v>0</v>
      </c>
      <c r="H46" s="19">
        <f>COUNTIF('장기면 정천리'!$N$6:$N$256,"과공")</f>
        <v>0</v>
      </c>
      <c r="I46" s="20" t="s">
        <v>5</v>
      </c>
      <c r="J46" s="170">
        <f>SUMIF('장기면 정천리'!$N$6:$N$256,"과공",'장기면 정천리'!$E$6:$E$256)</f>
        <v>0</v>
      </c>
      <c r="K46" s="19">
        <f t="shared" si="2"/>
        <v>0</v>
      </c>
      <c r="L46" s="20" t="s">
        <v>5</v>
      </c>
      <c r="M46" s="21">
        <f t="shared" si="3"/>
        <v>0</v>
      </c>
      <c r="N46" s="23"/>
      <c r="O46" s="11"/>
      <c r="P46" s="11"/>
      <c r="Q46" s="11"/>
      <c r="R46" s="11"/>
      <c r="S46" s="11"/>
      <c r="T46" s="11"/>
      <c r="U46" s="11"/>
      <c r="V46" s="11"/>
    </row>
    <row r="47" spans="1:22" s="12" customFormat="1" ht="22.5" customHeight="1">
      <c r="A47" s="22" t="s">
        <v>20</v>
      </c>
      <c r="B47" s="19">
        <f>COUNTIF('장기면 정천리'!$C$6:$C$256,"장")</f>
        <v>1</v>
      </c>
      <c r="C47" s="20" t="s">
        <v>5</v>
      </c>
      <c r="D47" s="21">
        <f>SUMIF('장기면 정천리'!$C$6:$C$256,"장",'장기면 정천리'!$E$6:$E$256)</f>
        <v>20</v>
      </c>
      <c r="E47" s="19">
        <f>COUNTIF('장기면 정천리'!$N$6:$N$256,"장국")</f>
        <v>0</v>
      </c>
      <c r="F47" s="20" t="s">
        <v>5</v>
      </c>
      <c r="G47" s="21">
        <f>SUMIF('장기면 정천리'!$N$6:$N$256,"장국",'장기면 정천리'!$E$6:$E$256)</f>
        <v>0</v>
      </c>
      <c r="H47" s="19">
        <f>COUNTIF('장기면 정천리'!$N$6:$N$256,"장공")</f>
        <v>0</v>
      </c>
      <c r="I47" s="20" t="s">
        <v>5</v>
      </c>
      <c r="J47" s="170">
        <f>SUMIF('장기면 정천리'!$N$6:$N$256,"장공",'장기면 정천리'!$E$6:$E$256)</f>
        <v>0</v>
      </c>
      <c r="K47" s="19">
        <f t="shared" si="2"/>
        <v>1</v>
      </c>
      <c r="L47" s="20" t="s">
        <v>5</v>
      </c>
      <c r="M47" s="21">
        <f t="shared" si="3"/>
        <v>20</v>
      </c>
      <c r="N47" s="23"/>
      <c r="O47" s="11"/>
      <c r="P47" s="11"/>
      <c r="Q47" s="11"/>
      <c r="R47" s="11"/>
      <c r="S47" s="11"/>
      <c r="T47" s="11"/>
      <c r="U47" s="11"/>
      <c r="V47" s="11"/>
    </row>
    <row r="48" spans="1:22" s="12" customFormat="1" ht="22.5" customHeight="1">
      <c r="A48" s="22" t="s">
        <v>17</v>
      </c>
      <c r="B48" s="19">
        <f>COUNTIF('장기면 정천리'!$C$6:$C$256,"목")</f>
        <v>3</v>
      </c>
      <c r="C48" s="20" t="s">
        <v>5</v>
      </c>
      <c r="D48" s="21">
        <f>SUMIF('장기면 정천리'!$C$6:$C$256,"목",'장기면 정천리'!$E$6:$E$256)</f>
        <v>794</v>
      </c>
      <c r="E48" s="19">
        <f>COUNTIF('장기면 정천리'!$N$6:$N$256,"목국")</f>
        <v>0</v>
      </c>
      <c r="F48" s="20" t="s">
        <v>5</v>
      </c>
      <c r="G48" s="21">
        <f>SUMIF('장기면 정천리'!$N$6:$N$256,"목국",'장기면 정천리'!$E$6:$E$256)</f>
        <v>0</v>
      </c>
      <c r="H48" s="19">
        <f>COUNTIF('장기면 정천리'!$N$6:$N$256,"목공")</f>
        <v>0</v>
      </c>
      <c r="I48" s="20" t="s">
        <v>5</v>
      </c>
      <c r="J48" s="170">
        <f>SUMIF('장기면 정천리'!$N$6:$N$256,"목공",'장기면 정천리'!$E$6:$E$256)</f>
        <v>0</v>
      </c>
      <c r="K48" s="19">
        <f t="shared" si="2"/>
        <v>3</v>
      </c>
      <c r="L48" s="20" t="s">
        <v>5</v>
      </c>
      <c r="M48" s="21">
        <f t="shared" si="3"/>
        <v>794</v>
      </c>
      <c r="N48" s="23"/>
      <c r="O48" s="11"/>
      <c r="P48" s="11"/>
      <c r="Q48" s="11"/>
      <c r="R48" s="11"/>
      <c r="S48" s="11"/>
      <c r="T48" s="11"/>
      <c r="U48" s="11"/>
      <c r="V48" s="11"/>
    </row>
    <row r="49" spans="1:22" s="12" customFormat="1" ht="22.5" customHeight="1">
      <c r="A49" s="22" t="s">
        <v>22</v>
      </c>
      <c r="B49" s="19">
        <f>COUNTIF('장기면 정천리'!$C$6:$C$256,"학")</f>
        <v>0</v>
      </c>
      <c r="C49" s="20" t="s">
        <v>5</v>
      </c>
      <c r="D49" s="21">
        <f>SUMIF('장기면 정천리'!$C$6:$C$256,"학",'장기면 정천리'!$E$6:$E$256)</f>
        <v>0</v>
      </c>
      <c r="E49" s="19">
        <f>COUNTIF('장기면 정천리'!$N$6:$N$256,"학국")</f>
        <v>0</v>
      </c>
      <c r="F49" s="20" t="s">
        <v>5</v>
      </c>
      <c r="G49" s="21">
        <f>SUMIF('장기면 정천리'!$N$6:$N$256,"학국",'장기면 정천리'!$E$6:$E$256)</f>
        <v>0</v>
      </c>
      <c r="H49" s="19">
        <f>COUNTIF('장기면 정천리'!$N$6:$N$256,"학공")</f>
        <v>0</v>
      </c>
      <c r="I49" s="20" t="s">
        <v>5</v>
      </c>
      <c r="J49" s="170">
        <f>SUMIF('장기면 정천리'!$N$6:$N$256,"학공",'장기면 정천리'!$E$6:$E$256)</f>
        <v>0</v>
      </c>
      <c r="K49" s="19">
        <f t="shared" si="2"/>
        <v>0</v>
      </c>
      <c r="L49" s="20" t="s">
        <v>5</v>
      </c>
      <c r="M49" s="21">
        <f t="shared" si="3"/>
        <v>0</v>
      </c>
      <c r="N49" s="23"/>
      <c r="O49" s="11"/>
      <c r="P49" s="11"/>
      <c r="Q49" s="11"/>
      <c r="R49" s="11"/>
      <c r="S49" s="11"/>
      <c r="T49" s="11"/>
      <c r="U49" s="11"/>
      <c r="V49" s="11"/>
    </row>
    <row r="50" spans="1:22" s="12" customFormat="1" ht="22.5" customHeight="1">
      <c r="A50" s="22" t="s">
        <v>38</v>
      </c>
      <c r="B50" s="19">
        <f>COUNTIF('장기면 정천리'!$C$6:$C$256,"철")</f>
        <v>0</v>
      </c>
      <c r="C50" s="20" t="s">
        <v>5</v>
      </c>
      <c r="D50" s="21">
        <f>SUMIF('장기면 정천리'!$C$6:$C$256,"철",'장기면 정천리'!$E$6:$E$256)</f>
        <v>0</v>
      </c>
      <c r="E50" s="19">
        <f>COUNTIF('장기면 정천리'!$N$6:$N$256,"철국")</f>
        <v>0</v>
      </c>
      <c r="F50" s="20" t="s">
        <v>5</v>
      </c>
      <c r="G50" s="21">
        <f>SUMIF('장기면 정천리'!$N$6:$N$256,"철국",'장기면 정천리'!$E$6:$E$256)</f>
        <v>0</v>
      </c>
      <c r="H50" s="19">
        <f>COUNTIF('장기면 정천리'!$N$6:$N$256,"철공")</f>
        <v>0</v>
      </c>
      <c r="I50" s="20" t="s">
        <v>5</v>
      </c>
      <c r="J50" s="170">
        <f>SUMIF('장기면 정천리'!$N$6:$N$256,"철공",'장기면 정천리'!$E$6:$E$256)</f>
        <v>0</v>
      </c>
      <c r="K50" s="19">
        <f t="shared" si="2"/>
        <v>0</v>
      </c>
      <c r="L50" s="20" t="s">
        <v>5</v>
      </c>
      <c r="M50" s="21">
        <f t="shared" si="3"/>
        <v>0</v>
      </c>
      <c r="N50" s="23"/>
      <c r="O50" s="11"/>
      <c r="P50" s="11"/>
      <c r="Q50" s="11"/>
      <c r="R50" s="11"/>
      <c r="S50" s="11"/>
      <c r="T50" s="11"/>
      <c r="U50" s="11"/>
      <c r="V50" s="11"/>
    </row>
    <row r="51" spans="1:22" s="12" customFormat="1" ht="22.5" customHeight="1">
      <c r="A51" s="22" t="s">
        <v>16</v>
      </c>
      <c r="B51" s="19">
        <f>COUNTIF('장기면 정천리'!$C$6:$C$256,"묘")</f>
        <v>3</v>
      </c>
      <c r="C51" s="20" t="s">
        <v>5</v>
      </c>
      <c r="D51" s="21">
        <f>SUMIF('장기면 정천리'!$C$6:$C$256,"묘",'장기면 정천리'!$E$6:$E$256)</f>
        <v>4352</v>
      </c>
      <c r="E51" s="19">
        <f>COUNTIF('장기면 정천리'!$N$6:$N$256,"묘국")</f>
        <v>0</v>
      </c>
      <c r="F51" s="20" t="s">
        <v>5</v>
      </c>
      <c r="G51" s="21">
        <f>SUMIF('장기면 정천리'!$N$6:$N$256,"묘국",'장기면 정천리'!$E$6:$E$256)</f>
        <v>0</v>
      </c>
      <c r="H51" s="19">
        <f>COUNTIF('장기면 정천리'!$N$6:$N$256,"묘공")</f>
        <v>3</v>
      </c>
      <c r="I51" s="20" t="s">
        <v>5</v>
      </c>
      <c r="J51" s="170">
        <f>SUMIF('장기면 정천리'!$N$6:$N$256,"묘공",'장기면 정천리'!$E$6:$E$256)</f>
        <v>4352</v>
      </c>
      <c r="K51" s="19">
        <f t="shared" si="2"/>
        <v>0</v>
      </c>
      <c r="L51" s="20" t="s">
        <v>5</v>
      </c>
      <c r="M51" s="21">
        <f t="shared" si="3"/>
        <v>0</v>
      </c>
      <c r="N51" s="23"/>
      <c r="O51" s="11"/>
      <c r="P51" s="11"/>
      <c r="Q51" s="11"/>
      <c r="R51" s="11"/>
      <c r="S51" s="11"/>
      <c r="T51" s="11"/>
      <c r="U51" s="11"/>
      <c r="V51" s="11"/>
    </row>
    <row r="52" spans="1:22" s="12" customFormat="1" ht="22.5" customHeight="1">
      <c r="A52" s="22" t="s">
        <v>19</v>
      </c>
      <c r="B52" s="19">
        <f>COUNTIF('장기면 정천리'!$C$6:$C$256,"수")</f>
        <v>0</v>
      </c>
      <c r="C52" s="20" t="s">
        <v>5</v>
      </c>
      <c r="D52" s="21">
        <f>SUMIF('장기면 정천리'!$C$6:$C$256,"수",'장기면 정천리'!$E$6:$E$256)</f>
        <v>0</v>
      </c>
      <c r="E52" s="19">
        <f>COUNTIF('장기면 정천리'!$N$6:$N$256,"수국")</f>
        <v>0</v>
      </c>
      <c r="F52" s="20" t="s">
        <v>5</v>
      </c>
      <c r="G52" s="21">
        <f>SUMIF('장기면 정천리'!$N$6:$N$256,"수국",'장기면 정천리'!$E$6:$E$256)</f>
        <v>0</v>
      </c>
      <c r="H52" s="19">
        <f>COUNTIF('장기면 정천리'!$N$6:$N$256,"수공")</f>
        <v>0</v>
      </c>
      <c r="I52" s="20" t="s">
        <v>5</v>
      </c>
      <c r="J52" s="170">
        <f>SUMIF('장기면 정천리'!$N$6:$N$256,"수공",'장기면 정천리'!$E$6:$E$256)</f>
        <v>0</v>
      </c>
      <c r="K52" s="19">
        <f t="shared" si="2"/>
        <v>0</v>
      </c>
      <c r="L52" s="20" t="s">
        <v>5</v>
      </c>
      <c r="M52" s="21">
        <f t="shared" si="3"/>
        <v>0</v>
      </c>
      <c r="N52" s="23"/>
      <c r="O52" s="11"/>
      <c r="P52" s="11"/>
      <c r="Q52" s="11"/>
      <c r="R52" s="11"/>
      <c r="S52" s="11"/>
      <c r="T52" s="11"/>
      <c r="U52" s="11"/>
      <c r="V52" s="11"/>
    </row>
    <row r="53" spans="1:22" s="12" customFormat="1" ht="22.5" customHeight="1">
      <c r="A53" s="22" t="s">
        <v>18</v>
      </c>
      <c r="B53" s="19">
        <f>COUNTIF('장기면 정천리'!$C$6:$C$256,"잡")</f>
        <v>2</v>
      </c>
      <c r="C53" s="20" t="s">
        <v>5</v>
      </c>
      <c r="D53" s="21">
        <f>SUMIF('장기면 정천리'!$C$6:$C$256,"잡",'장기면 정천리'!$E$6:$E$256)</f>
        <v>242</v>
      </c>
      <c r="E53" s="19">
        <f>COUNTIF('장기면 정천리'!$N$6:$N$256,"잡국")</f>
        <v>0</v>
      </c>
      <c r="F53" s="20" t="s">
        <v>5</v>
      </c>
      <c r="G53" s="21">
        <f>SUMIF('장기면 정천리'!$N$6:$N$256,"잡국",'장기면 정천리'!$E$6:$E$256)</f>
        <v>0</v>
      </c>
      <c r="H53" s="19">
        <f>COUNTIF('장기면 정천리'!$N$6:$N$256,"잡공")</f>
        <v>0</v>
      </c>
      <c r="I53" s="20" t="s">
        <v>5</v>
      </c>
      <c r="J53" s="170">
        <f>SUMIF('장기면 정천리'!$N$6:$N$256,"잡공",'장기면 정천리'!$E$6:$E$256)</f>
        <v>0</v>
      </c>
      <c r="K53" s="19">
        <f t="shared" si="2"/>
        <v>2</v>
      </c>
      <c r="L53" s="20" t="s">
        <v>5</v>
      </c>
      <c r="M53" s="21">
        <f t="shared" si="3"/>
        <v>242</v>
      </c>
      <c r="N53" s="23"/>
      <c r="O53" s="11"/>
      <c r="P53" s="11"/>
      <c r="Q53" s="11"/>
      <c r="R53" s="11"/>
      <c r="S53" s="11"/>
      <c r="T53" s="11"/>
      <c r="U53" s="11"/>
      <c r="V53" s="11"/>
    </row>
    <row r="54" spans="1:22" s="12" customFormat="1" ht="22.5" customHeight="1">
      <c r="A54" s="22" t="s">
        <v>39</v>
      </c>
      <c r="B54" s="19">
        <f>COUNTIF('장기면 정천리'!$C$6:$C$256,"종")</f>
        <v>0</v>
      </c>
      <c r="C54" s="20" t="s">
        <v>5</v>
      </c>
      <c r="D54" s="21">
        <f>SUMIF('장기면 정천리'!$C$6:$C$256,"종",'장기면 정천리'!$E$6:$E$256)</f>
        <v>0</v>
      </c>
      <c r="E54" s="19">
        <f>COUNTIF('장기면 정천리'!$N$6:$N$256,"종국")</f>
        <v>0</v>
      </c>
      <c r="F54" s="20" t="s">
        <v>5</v>
      </c>
      <c r="G54" s="21">
        <f>SUMIF('장기면 정천리'!$N$6:$N$256,"종국",'장기면 정천리'!$E$6:$E$256)</f>
        <v>0</v>
      </c>
      <c r="H54" s="19">
        <f>COUNTIF('장기면 정천리'!$N$6:$N$256,"종공")</f>
        <v>0</v>
      </c>
      <c r="I54" s="20" t="s">
        <v>5</v>
      </c>
      <c r="J54" s="170">
        <f>SUMIF('장기면 정천리'!$N$6:$N$256,"종공",'장기면 정천리'!$E$6:$E$256)</f>
        <v>0</v>
      </c>
      <c r="K54" s="19">
        <f t="shared" si="2"/>
        <v>0</v>
      </c>
      <c r="L54" s="20" t="s">
        <v>5</v>
      </c>
      <c r="M54" s="21">
        <f t="shared" si="3"/>
        <v>0</v>
      </c>
      <c r="N54" s="23"/>
      <c r="O54" s="11"/>
      <c r="P54" s="11"/>
      <c r="Q54" s="11"/>
      <c r="R54" s="11"/>
      <c r="S54" s="11"/>
      <c r="T54" s="11"/>
      <c r="U54" s="11"/>
      <c r="V54" s="11"/>
    </row>
    <row r="55" spans="1:22" s="12" customFormat="1" ht="22.5" customHeight="1">
      <c r="A55" s="25" t="s">
        <v>40</v>
      </c>
      <c r="B55" s="19">
        <f>COUNTIF('장기면 정천리'!$C$6:$C$256,"염")</f>
        <v>0</v>
      </c>
      <c r="C55" s="20" t="s">
        <v>5</v>
      </c>
      <c r="D55" s="21">
        <f>SUMIF('장기면 정천리'!$C$6:$C$256,"염",'장기면 정천리'!$E$6:$E$256)</f>
        <v>0</v>
      </c>
      <c r="E55" s="19">
        <f>COUNTIF('장기면 정천리'!$N$6:$N$256,"염국")</f>
        <v>0</v>
      </c>
      <c r="F55" s="20" t="s">
        <v>5</v>
      </c>
      <c r="G55" s="21">
        <f>SUMIF('장기면 정천리'!$N$6:$N$256,"염국",'장기면 정천리'!$E$6:$E$256)</f>
        <v>0</v>
      </c>
      <c r="H55" s="19">
        <f>COUNTIF('장기면 정천리'!$N$6:$N$256,"염공")</f>
        <v>0</v>
      </c>
      <c r="I55" s="20" t="s">
        <v>5</v>
      </c>
      <c r="J55" s="170">
        <f>SUMIF('장기면 정천리'!$N$6:$N$256,"염공",'장기면 정천리'!$E$6:$E$256)</f>
        <v>0</v>
      </c>
      <c r="K55" s="19">
        <f t="shared" si="2"/>
        <v>0</v>
      </c>
      <c r="L55" s="20" t="s">
        <v>5</v>
      </c>
      <c r="M55" s="21">
        <f t="shared" si="3"/>
        <v>0</v>
      </c>
      <c r="N55" s="23"/>
      <c r="O55" s="11"/>
      <c r="P55" s="11"/>
      <c r="Q55" s="11"/>
      <c r="R55" s="11"/>
      <c r="S55" s="11"/>
      <c r="T55" s="11"/>
      <c r="U55" s="11"/>
      <c r="V55" s="11"/>
    </row>
    <row r="56" spans="1:22" s="12" customFormat="1" ht="22.5" customHeight="1">
      <c r="A56" s="25" t="s">
        <v>41</v>
      </c>
      <c r="B56" s="19">
        <f>COUNTIF('장기면 정천리'!$C$6:$C$256,"공")</f>
        <v>0</v>
      </c>
      <c r="C56" s="20" t="s">
        <v>5</v>
      </c>
      <c r="D56" s="21">
        <f>SUMIF('장기면 정천리'!$C$6:$C$256,"공",'장기면 정천리'!$E$6:$E$256)</f>
        <v>0</v>
      </c>
      <c r="E56" s="19">
        <f>COUNTIF('장기면 정천리'!$N$6:$N$256,"공국")</f>
        <v>0</v>
      </c>
      <c r="F56" s="20" t="s">
        <v>5</v>
      </c>
      <c r="G56" s="21">
        <f>SUMIF('장기면 정천리'!$N$6:$N$256,"공국",'장기면 정천리'!$E$6:$E$256)</f>
        <v>0</v>
      </c>
      <c r="H56" s="19">
        <f>COUNTIF('장기면 정천리'!$N$6:$N$256,"공공")</f>
        <v>0</v>
      </c>
      <c r="I56" s="20" t="s">
        <v>5</v>
      </c>
      <c r="J56" s="170">
        <f>SUMIF('장기면 정천리'!$N$6:$N$256,"공공",'장기면 정천리'!$E$6:$E$256)</f>
        <v>0</v>
      </c>
      <c r="K56" s="19">
        <f t="shared" si="2"/>
        <v>0</v>
      </c>
      <c r="L56" s="20" t="s">
        <v>5</v>
      </c>
      <c r="M56" s="21">
        <f t="shared" si="3"/>
        <v>0</v>
      </c>
      <c r="N56" s="23"/>
      <c r="O56" s="11"/>
      <c r="P56" s="11"/>
      <c r="Q56" s="11"/>
      <c r="R56" s="11"/>
      <c r="S56" s="11"/>
      <c r="T56" s="11"/>
      <c r="U56" s="11"/>
      <c r="V56" s="11"/>
    </row>
    <row r="57" spans="1:22" s="12" customFormat="1" ht="22.5" customHeight="1">
      <c r="A57" s="25" t="s">
        <v>42</v>
      </c>
      <c r="B57" s="19">
        <f>COUNTIF('장기면 정천리'!$C$6:$C$256,"체")</f>
        <v>0</v>
      </c>
      <c r="C57" s="20" t="s">
        <v>5</v>
      </c>
      <c r="D57" s="21">
        <f>SUMIF('장기면 정천리'!$C$6:$C$256,"체",'장기면 정천리'!$E$6:$E$256)</f>
        <v>0</v>
      </c>
      <c r="E57" s="19">
        <f>COUNTIF('장기면 정천리'!$N$6:$N$256,"체국")</f>
        <v>0</v>
      </c>
      <c r="F57" s="20" t="s">
        <v>5</v>
      </c>
      <c r="G57" s="21">
        <f>SUMIF('장기면 정천리'!$N$6:$N$256,"체국",'장기면 정천리'!$E$6:$E$256)</f>
        <v>0</v>
      </c>
      <c r="H57" s="19">
        <f>COUNTIF('장기면 정천리'!$N$6:$N$256,"체공")</f>
        <v>0</v>
      </c>
      <c r="I57" s="20" t="s">
        <v>5</v>
      </c>
      <c r="J57" s="170">
        <f>SUMIF('장기면 정천리'!$N$6:$N$256,"체공",'장기면 정천리'!$E$6:$E$256)</f>
        <v>0</v>
      </c>
      <c r="K57" s="19">
        <f t="shared" si="2"/>
        <v>0</v>
      </c>
      <c r="L57" s="20" t="s">
        <v>5</v>
      </c>
      <c r="M57" s="21">
        <f t="shared" si="3"/>
        <v>0</v>
      </c>
      <c r="N57" s="23"/>
      <c r="O57" s="11"/>
      <c r="P57" s="11"/>
      <c r="Q57" s="11"/>
      <c r="R57" s="11"/>
      <c r="S57" s="11"/>
      <c r="T57" s="11"/>
      <c r="U57" s="11"/>
      <c r="V57" s="11"/>
    </row>
    <row r="58" spans="1:22" s="12" customFormat="1" ht="22.5" customHeight="1">
      <c r="A58" s="25" t="s">
        <v>43</v>
      </c>
      <c r="B58" s="19">
        <f>COUNTIF('장기면 정천리'!$C$6:$C$256,"원")</f>
        <v>0</v>
      </c>
      <c r="C58" s="20" t="s">
        <v>5</v>
      </c>
      <c r="D58" s="21">
        <f>SUMIF('장기면 정천리'!$C$6:$C$256,"원",'장기면 정천리'!$E$6:$E$256)</f>
        <v>0</v>
      </c>
      <c r="E58" s="19">
        <f>COUNTIF('장기면 정천리'!$N$6:$N$256,"원국")</f>
        <v>0</v>
      </c>
      <c r="F58" s="20" t="s">
        <v>5</v>
      </c>
      <c r="G58" s="21">
        <f>SUMIF('장기면 정천리'!$N$6:$N$256,"원국",'장기면 정천리'!$E$6:$E$256)</f>
        <v>0</v>
      </c>
      <c r="H58" s="19">
        <f>COUNTIF('장기면 정천리'!$N$6:$N$256,"원공")</f>
        <v>0</v>
      </c>
      <c r="I58" s="20" t="s">
        <v>5</v>
      </c>
      <c r="J58" s="170">
        <f>SUMIF('장기면 정천리'!$N$6:$N$256,"원공",'장기면 정천리'!$E$6:$E$256)</f>
        <v>0</v>
      </c>
      <c r="K58" s="19">
        <f t="shared" si="2"/>
        <v>0</v>
      </c>
      <c r="L58" s="20" t="s">
        <v>5</v>
      </c>
      <c r="M58" s="21">
        <f t="shared" si="3"/>
        <v>0</v>
      </c>
      <c r="N58" s="23"/>
      <c r="O58" s="11"/>
      <c r="P58" s="11"/>
      <c r="Q58" s="11"/>
      <c r="R58" s="11"/>
      <c r="S58" s="11"/>
      <c r="T58" s="11"/>
      <c r="U58" s="11"/>
      <c r="V58" s="11"/>
    </row>
    <row r="59" spans="1:22" s="12" customFormat="1" ht="22.5" customHeight="1">
      <c r="A59" s="25" t="s">
        <v>1</v>
      </c>
      <c r="B59" s="19">
        <f>COUNTIF('장기면 정천리'!$C$6:$C$256,"창")</f>
        <v>0</v>
      </c>
      <c r="C59" s="20" t="s">
        <v>5</v>
      </c>
      <c r="D59" s="21">
        <f>SUMIF('장기면 정천리'!$C$6:$C$256,"창",'장기면 정천리'!$E$6:$E$256)</f>
        <v>0</v>
      </c>
      <c r="E59" s="19">
        <f>COUNTIF('장기면 정천리'!$N$6:$N$256,"창국")</f>
        <v>0</v>
      </c>
      <c r="F59" s="20" t="s">
        <v>5</v>
      </c>
      <c r="G59" s="21">
        <f>SUMIF('장기면 정천리'!$N$6:$N$256,"사국",'장기면 정천리'!$E$6:$E$256)</f>
        <v>0</v>
      </c>
      <c r="H59" s="19">
        <f>COUNTIF('장기면 정천리'!$N$6:$N$256,"창공")</f>
        <v>0</v>
      </c>
      <c r="I59" s="20" t="s">
        <v>5</v>
      </c>
      <c r="J59" s="170">
        <f>SUMIF('장기면 정천리'!$N$6:$N$256,"창공",'장기면 정천리'!$E$6:$E$256)</f>
        <v>0</v>
      </c>
      <c r="K59" s="19">
        <f t="shared" si="2"/>
        <v>0</v>
      </c>
      <c r="L59" s="20" t="s">
        <v>5</v>
      </c>
      <c r="M59" s="21">
        <f t="shared" si="3"/>
        <v>0</v>
      </c>
      <c r="N59" s="23"/>
      <c r="O59" s="11"/>
      <c r="P59" s="11"/>
      <c r="Q59" s="11"/>
      <c r="R59" s="11"/>
      <c r="S59" s="11"/>
      <c r="T59" s="11"/>
      <c r="U59" s="11"/>
      <c r="V59" s="11"/>
    </row>
    <row r="60" spans="1:22" s="12" customFormat="1" ht="22.5" customHeight="1">
      <c r="A60" s="25" t="s">
        <v>274</v>
      </c>
      <c r="B60" s="19">
        <f>COUNTIF('장기면 정천리'!$C$6:$C$256,"주")</f>
        <v>2</v>
      </c>
      <c r="C60" s="20" t="s">
        <v>5</v>
      </c>
      <c r="D60" s="21">
        <f>SUMIF('장기면 정천리'!$C$6:$C$256,"주",'장기면 정천리'!$E$6:$E$256)</f>
        <v>1319</v>
      </c>
      <c r="E60" s="19">
        <f>COUNTIF('장기면 정천리'!$N$6:$N$256,"주국")</f>
        <v>0</v>
      </c>
      <c r="F60" s="20" t="s">
        <v>5</v>
      </c>
      <c r="G60" s="21">
        <f>SUMIF('장기면 정천리'!$N$6:$N$256,"주국",'장기면 정천리'!$E$6:$E$256)</f>
        <v>0</v>
      </c>
      <c r="H60" s="19">
        <f>COUNTIF('장기면 정천리'!$N$6:$N$256,"주공")</f>
        <v>1</v>
      </c>
      <c r="I60" s="20" t="s">
        <v>5</v>
      </c>
      <c r="J60" s="170">
        <f>SUMIF('장기면 정천리'!$N$6:$N$256,"주공",'장기면 정천리'!$E$6:$E$256)</f>
        <v>74</v>
      </c>
      <c r="K60" s="19">
        <f t="shared" si="2"/>
        <v>1</v>
      </c>
      <c r="L60" s="20" t="s">
        <v>5</v>
      </c>
      <c r="M60" s="21">
        <f t="shared" si="3"/>
        <v>1245</v>
      </c>
      <c r="N60" s="23"/>
      <c r="O60" s="11"/>
      <c r="P60" s="11"/>
      <c r="Q60" s="11"/>
      <c r="R60" s="11"/>
      <c r="S60" s="11"/>
      <c r="T60" s="11"/>
      <c r="U60" s="11"/>
      <c r="V60" s="11"/>
    </row>
    <row r="61" spans="1:22" s="12" customFormat="1" ht="22.5" customHeight="1">
      <c r="A61" s="26" t="s">
        <v>54</v>
      </c>
      <c r="B61" s="27">
        <f>COUNTIF('장기면 정천리'!$C$6:$C$256," ")</f>
        <v>0</v>
      </c>
      <c r="C61" s="28" t="s">
        <v>5</v>
      </c>
      <c r="D61" s="29">
        <f>SUMIF('장기면 정천리'!$C$6:$C$256," ",'장기면 정천리'!$E$6:$E$256)</f>
        <v>0</v>
      </c>
      <c r="E61" s="27">
        <f>COUNTIF('장기면 정천리'!$N$6:$N$256," 국")</f>
        <v>0</v>
      </c>
      <c r="F61" s="28" t="s">
        <v>5</v>
      </c>
      <c r="G61" s="29">
        <f>SUMIF('장기면 정천리'!$N$6:$N$256," 국",'장기면 정천리'!$E$6:$E$256)</f>
        <v>0</v>
      </c>
      <c r="H61" s="27">
        <f>COUNTIF('장기면 정천리'!$N$6:$N$256," 공")</f>
        <v>0</v>
      </c>
      <c r="I61" s="28" t="s">
        <v>5</v>
      </c>
      <c r="J61" s="171">
        <f>SUMIF('장기면 정천리'!$N$6:$N$256," 공",'장기면 정천리'!$E$6:$E$256)</f>
        <v>0</v>
      </c>
      <c r="K61" s="27">
        <f>B61-E61-H61</f>
        <v>0</v>
      </c>
      <c r="L61" s="28" t="s">
        <v>5</v>
      </c>
      <c r="M61" s="29">
        <f>D61-G61-J61</f>
        <v>0</v>
      </c>
      <c r="N61" s="30"/>
      <c r="O61" s="11"/>
      <c r="P61" s="11"/>
      <c r="Q61" s="11"/>
      <c r="R61" s="11"/>
      <c r="S61" s="11"/>
      <c r="T61" s="11"/>
      <c r="U61" s="11"/>
      <c r="V61" s="11"/>
    </row>
    <row r="62" spans="1:14" s="10" customFormat="1" ht="19.5" customHeight="1">
      <c r="A62" s="15">
        <f>IF(EXACT(O66,O67),,"검산확인요!!!")</f>
        <v>0</v>
      </c>
      <c r="B62" s="16"/>
      <c r="C62" s="16"/>
      <c r="D62" s="16"/>
      <c r="E62" s="16"/>
      <c r="F62" s="16"/>
      <c r="G62" s="16"/>
      <c r="H62" s="16"/>
      <c r="I62" s="16"/>
      <c r="J62" s="172"/>
      <c r="K62" s="208" t="str">
        <f>IF(ISBLANK('동해면 상정리'!K2),,'동해면 상정리'!K2)</f>
        <v>동해면 상정리</v>
      </c>
      <c r="L62" s="208"/>
      <c r="M62" s="208"/>
      <c r="N62" s="208"/>
    </row>
    <row r="63" spans="1:14" s="10" customFormat="1" ht="9.75" customHeight="1">
      <c r="A63" s="15"/>
      <c r="B63" s="16"/>
      <c r="C63" s="16"/>
      <c r="D63" s="16"/>
      <c r="E63" s="16"/>
      <c r="F63" s="16"/>
      <c r="G63" s="16"/>
      <c r="H63" s="16"/>
      <c r="I63" s="16"/>
      <c r="J63" s="172"/>
      <c r="K63" s="16"/>
      <c r="L63" s="16"/>
      <c r="M63" s="16"/>
      <c r="N63" s="16"/>
    </row>
    <row r="64" spans="1:22" s="12" customFormat="1" ht="27.75" customHeight="1">
      <c r="A64" s="31" t="s">
        <v>2</v>
      </c>
      <c r="B64" s="32" t="s">
        <v>3</v>
      </c>
      <c r="C64" s="33"/>
      <c r="D64" s="34"/>
      <c r="E64" s="32" t="s">
        <v>44</v>
      </c>
      <c r="F64" s="33"/>
      <c r="G64" s="34"/>
      <c r="H64" s="32" t="s">
        <v>55</v>
      </c>
      <c r="I64" s="33"/>
      <c r="J64" s="166"/>
      <c r="K64" s="32" t="s">
        <v>45</v>
      </c>
      <c r="L64" s="33"/>
      <c r="M64" s="34"/>
      <c r="N64" s="35" t="s">
        <v>21</v>
      </c>
      <c r="O64" s="11"/>
      <c r="S64" s="11"/>
      <c r="T64" s="11"/>
      <c r="U64" s="11"/>
      <c r="V64" s="11"/>
    </row>
    <row r="65" spans="1:22" s="12" customFormat="1" ht="27.75" customHeight="1" thickBot="1">
      <c r="A65" s="37"/>
      <c r="B65" s="38" t="s">
        <v>4</v>
      </c>
      <c r="C65" s="39" t="s">
        <v>5</v>
      </c>
      <c r="D65" s="40" t="s">
        <v>46</v>
      </c>
      <c r="E65" s="38" t="s">
        <v>4</v>
      </c>
      <c r="F65" s="39" t="s">
        <v>5</v>
      </c>
      <c r="G65" s="41" t="s">
        <v>56</v>
      </c>
      <c r="H65" s="38" t="s">
        <v>4</v>
      </c>
      <c r="I65" s="39" t="s">
        <v>5</v>
      </c>
      <c r="J65" s="167" t="s">
        <v>56</v>
      </c>
      <c r="K65" s="38" t="s">
        <v>4</v>
      </c>
      <c r="L65" s="39" t="s">
        <v>5</v>
      </c>
      <c r="M65" s="41" t="s">
        <v>56</v>
      </c>
      <c r="N65" s="42"/>
      <c r="P65" s="11"/>
      <c r="Q65" s="13" t="s">
        <v>47</v>
      </c>
      <c r="R65" s="13" t="s">
        <v>48</v>
      </c>
      <c r="S65" s="13" t="s">
        <v>49</v>
      </c>
      <c r="T65" s="13" t="s">
        <v>50</v>
      </c>
      <c r="U65" s="11"/>
      <c r="V65" s="11"/>
    </row>
    <row r="66" spans="1:22" s="12" customFormat="1" ht="22.5" customHeight="1" thickTop="1">
      <c r="A66" s="46" t="s">
        <v>3</v>
      </c>
      <c r="B66" s="47">
        <f>SUM(B67:B91)</f>
        <v>52</v>
      </c>
      <c r="C66" s="48" t="s">
        <v>5</v>
      </c>
      <c r="D66" s="49">
        <f>SUM(D67:D91)</f>
        <v>16484</v>
      </c>
      <c r="E66" s="47">
        <f>SUM(E67:E91)</f>
        <v>18</v>
      </c>
      <c r="F66" s="48" t="s">
        <v>5</v>
      </c>
      <c r="G66" s="49">
        <f>SUM(G67:G91)</f>
        <v>5236</v>
      </c>
      <c r="H66" s="47">
        <f>SUM(H67:H91)</f>
        <v>4</v>
      </c>
      <c r="I66" s="48" t="s">
        <v>5</v>
      </c>
      <c r="J66" s="168">
        <f>SUM(J67:J91)</f>
        <v>312</v>
      </c>
      <c r="K66" s="47">
        <f>SUM(K67:K91)</f>
        <v>30</v>
      </c>
      <c r="L66" s="48" t="s">
        <v>5</v>
      </c>
      <c r="M66" s="49">
        <f>SUM(M67:M91)</f>
        <v>10936</v>
      </c>
      <c r="N66" s="50"/>
      <c r="O66" s="11" t="str">
        <f>IF(EXACT(Q66,T66),"맞음","틀림")</f>
        <v>틀림</v>
      </c>
      <c r="P66" s="11" t="s">
        <v>4</v>
      </c>
      <c r="Q66" s="14">
        <f>SUM(B67:B91)</f>
        <v>52</v>
      </c>
      <c r="R66" s="14">
        <f>SUM(E67:E91)</f>
        <v>18</v>
      </c>
      <c r="S66" s="14">
        <f>SUM(K67:K91)</f>
        <v>30</v>
      </c>
      <c r="T66" s="14">
        <f>K66+E66</f>
        <v>48</v>
      </c>
      <c r="U66" s="11"/>
      <c r="V66" s="11"/>
    </row>
    <row r="67" spans="1:22" s="12" customFormat="1" ht="22.5" customHeight="1">
      <c r="A67" s="43" t="s">
        <v>6</v>
      </c>
      <c r="B67" s="17">
        <f>COUNTIF('동해면 상정리'!$C$6:$C$100,"전")</f>
        <v>11</v>
      </c>
      <c r="C67" s="44" t="s">
        <v>5</v>
      </c>
      <c r="D67" s="18">
        <f>SUMIF('동해면 상정리'!$C$6:$C$100,"전",'동해면 상정리'!$E$6:$E$100)</f>
        <v>3736</v>
      </c>
      <c r="E67" s="17">
        <f>COUNTIF('동해면 상정리'!$N$6:$N$100,"전국")</f>
        <v>2</v>
      </c>
      <c r="F67" s="44" t="s">
        <v>5</v>
      </c>
      <c r="G67" s="18">
        <f>SUMIF('동해면 상정리'!$N$6:$N$100,"전국",'동해면 상정리'!$E$6:$E$100)</f>
        <v>129</v>
      </c>
      <c r="H67" s="17">
        <f>COUNTIF('동해면 상정리'!$N$6:$N$100,"전공")</f>
        <v>0</v>
      </c>
      <c r="I67" s="44" t="s">
        <v>5</v>
      </c>
      <c r="J67" s="169">
        <f>SUMIF('동해면 상정리'!$N$6:$N$100,"전공",'동해면 상정리'!$E$6:$E$100)</f>
        <v>0</v>
      </c>
      <c r="K67" s="17">
        <f>B67-E67-H67</f>
        <v>9</v>
      </c>
      <c r="L67" s="44" t="s">
        <v>5</v>
      </c>
      <c r="M67" s="18">
        <f>D67-G67-J67</f>
        <v>3607</v>
      </c>
      <c r="N67" s="45"/>
      <c r="O67" s="11" t="str">
        <f>IF(EXACT(Q67,T67),"맞음","틀림")</f>
        <v>틀림</v>
      </c>
      <c r="P67" s="11" t="s">
        <v>51</v>
      </c>
      <c r="Q67" s="14">
        <f>SUM(D67:D91)</f>
        <v>16484</v>
      </c>
      <c r="R67" s="14">
        <f>SUM(G67:G91)</f>
        <v>5236</v>
      </c>
      <c r="S67" s="14">
        <f>SUM(M67:M91)</f>
        <v>10936</v>
      </c>
      <c r="T67" s="14">
        <f>G66+M66</f>
        <v>16172</v>
      </c>
      <c r="U67" s="11"/>
      <c r="V67" s="11"/>
    </row>
    <row r="68" spans="1:22" s="12" customFormat="1" ht="22.5" customHeight="1">
      <c r="A68" s="22" t="s">
        <v>7</v>
      </c>
      <c r="B68" s="19">
        <f>COUNTIF('동해면 상정리'!$C$6:$C$100,"답")</f>
        <v>9</v>
      </c>
      <c r="C68" s="20" t="s">
        <v>5</v>
      </c>
      <c r="D68" s="21">
        <f>SUMIF('동해면 상정리'!$C$6:$C$100,"답",'동해면 상정리'!$E$6:$E$100)</f>
        <v>2091</v>
      </c>
      <c r="E68" s="19">
        <f>COUNTIF('동해면 상정리'!$N$6:$N$100,"답국")</f>
        <v>0</v>
      </c>
      <c r="F68" s="20" t="s">
        <v>5</v>
      </c>
      <c r="G68" s="21">
        <f>SUMIF('동해면 상정리'!$N$6:$N$100,"답국",'동해면 상정리'!$E$6:$E$100)</f>
        <v>0</v>
      </c>
      <c r="H68" s="19">
        <f>COUNTIF('동해면 상정리'!$N$6:$N$100,"답공")</f>
        <v>0</v>
      </c>
      <c r="I68" s="20" t="s">
        <v>5</v>
      </c>
      <c r="J68" s="170">
        <f>SUMIF('동해면 상정리'!$N$6:$N$100,"답공",'동해면 상정리'!$E$6:$E$100)</f>
        <v>0</v>
      </c>
      <c r="K68" s="19">
        <f aca="true" t="shared" si="4" ref="K68:K90">B68-E68-H68</f>
        <v>9</v>
      </c>
      <c r="L68" s="20" t="s">
        <v>5</v>
      </c>
      <c r="M68" s="21">
        <f aca="true" t="shared" si="5" ref="M68:M90">D68-G68-J68</f>
        <v>2091</v>
      </c>
      <c r="N68" s="23"/>
      <c r="Q68" s="11"/>
      <c r="S68" s="11"/>
      <c r="U68" s="11"/>
      <c r="V68" s="11"/>
    </row>
    <row r="69" spans="1:22" s="12" customFormat="1" ht="22.5" customHeight="1">
      <c r="A69" s="24" t="s">
        <v>8</v>
      </c>
      <c r="B69" s="19">
        <f>COUNTIF('동해면 상정리'!$C$6:$C$100,"임")</f>
        <v>2</v>
      </c>
      <c r="C69" s="20" t="s">
        <v>5</v>
      </c>
      <c r="D69" s="21">
        <f>SUMIF('동해면 상정리'!$C$6:$C$100,"임",'동해면 상정리'!$E$6:$E$100)</f>
        <v>803</v>
      </c>
      <c r="E69" s="19">
        <f>COUNTIF('동해면 상정리'!$N$6:$N$100,"임국")</f>
        <v>0</v>
      </c>
      <c r="F69" s="20" t="s">
        <v>5</v>
      </c>
      <c r="G69" s="21">
        <f>SUMIF('동해면 상정리'!$N$6:$N$100,"임국",'동해면 상정리'!$E$6:$E$100)</f>
        <v>0</v>
      </c>
      <c r="H69" s="19">
        <f>COUNTIF('동해면 상정리'!$N$6:$N$100,"임공")</f>
        <v>0</v>
      </c>
      <c r="I69" s="20" t="s">
        <v>5</v>
      </c>
      <c r="J69" s="170">
        <f>SUMIF('동해면 상정리'!$N$6:$N$100,"임공",'동해면 상정리'!$E$6:$E$100)</f>
        <v>0</v>
      </c>
      <c r="K69" s="19">
        <f t="shared" si="4"/>
        <v>2</v>
      </c>
      <c r="L69" s="20" t="s">
        <v>5</v>
      </c>
      <c r="M69" s="21">
        <f t="shared" si="5"/>
        <v>803</v>
      </c>
      <c r="N69" s="23"/>
      <c r="Q69" s="11"/>
      <c r="S69" s="11"/>
      <c r="U69" s="11"/>
      <c r="V69" s="11"/>
    </row>
    <row r="70" spans="1:22" s="12" customFormat="1" ht="22.5" customHeight="1">
      <c r="A70" s="22" t="s">
        <v>9</v>
      </c>
      <c r="B70" s="19">
        <f>COUNTIF('동해면 상정리'!$C$6:$C$100,"대")</f>
        <v>1</v>
      </c>
      <c r="C70" s="20" t="s">
        <v>5</v>
      </c>
      <c r="D70" s="21">
        <f>SUMIF('동해면 상정리'!$C$6:$C$100,"대",'동해면 상정리'!$E$6:$E$100)</f>
        <v>67</v>
      </c>
      <c r="E70" s="19">
        <f>COUNTIF('동해면 상정리'!$N$6:$N$100,"대국")</f>
        <v>0</v>
      </c>
      <c r="F70" s="20" t="s">
        <v>5</v>
      </c>
      <c r="G70" s="21">
        <f>SUMIF('동해면 상정리'!$N$6:$N$100,"대국",'동해면 상정리'!$E$6:$E$100)</f>
        <v>0</v>
      </c>
      <c r="H70" s="19">
        <f>COUNTIF('동해면 상정리'!$N$6:$N$100,"대공")</f>
        <v>0</v>
      </c>
      <c r="I70" s="20" t="s">
        <v>5</v>
      </c>
      <c r="J70" s="170">
        <f>SUMIF('동해면 상정리'!$N$6:$N$100,"대공",'동해면 상정리'!$E$6:$E$100)</f>
        <v>0</v>
      </c>
      <c r="K70" s="19">
        <f t="shared" si="4"/>
        <v>1</v>
      </c>
      <c r="L70" s="20" t="s">
        <v>5</v>
      </c>
      <c r="M70" s="21">
        <f t="shared" si="5"/>
        <v>67</v>
      </c>
      <c r="N70" s="23"/>
      <c r="O70" s="11"/>
      <c r="P70" s="11"/>
      <c r="Q70" s="11"/>
      <c r="R70" s="11"/>
      <c r="S70" s="11"/>
      <c r="T70" s="11"/>
      <c r="U70" s="11"/>
      <c r="V70" s="11"/>
    </row>
    <row r="71" spans="1:22" s="12" customFormat="1" ht="22.5" customHeight="1">
      <c r="A71" s="22" t="s">
        <v>10</v>
      </c>
      <c r="B71" s="19">
        <f>COUNTIF('동해면 상정리'!$C$6:$C$100,"도")</f>
        <v>24</v>
      </c>
      <c r="C71" s="20" t="s">
        <v>5</v>
      </c>
      <c r="D71" s="21">
        <f>SUMIF('동해면 상정리'!$C$6:$C$100,"도",'동해면 상정리'!$E$6:$E$100)</f>
        <v>5176</v>
      </c>
      <c r="E71" s="19">
        <f>COUNTIF('동해면 상정리'!$N$6:$N$100,"도국")</f>
        <v>15</v>
      </c>
      <c r="F71" s="20" t="s">
        <v>5</v>
      </c>
      <c r="G71" s="21">
        <f>SUMIF('동해면 상정리'!$N$6:$N$100,"도국",'동해면 상정리'!$E$6:$E$100)</f>
        <v>4549</v>
      </c>
      <c r="H71" s="19">
        <f>COUNTIF('동해면 상정리'!$N$6:$N$100,"도공")</f>
        <v>4</v>
      </c>
      <c r="I71" s="20" t="s">
        <v>5</v>
      </c>
      <c r="J71" s="170">
        <f>SUMIF('동해면 상정리'!$N$6:$N$100,"도공",'동해면 상정리'!$E$6:$E$100)</f>
        <v>312</v>
      </c>
      <c r="K71" s="19">
        <f t="shared" si="4"/>
        <v>5</v>
      </c>
      <c r="L71" s="20" t="s">
        <v>5</v>
      </c>
      <c r="M71" s="21">
        <f t="shared" si="5"/>
        <v>315</v>
      </c>
      <c r="N71" s="23"/>
      <c r="O71" s="11"/>
      <c r="P71" s="11"/>
      <c r="Q71" s="11"/>
      <c r="R71" s="11"/>
      <c r="S71" s="11"/>
      <c r="T71" s="11"/>
      <c r="U71" s="11"/>
      <c r="V71" s="11"/>
    </row>
    <row r="72" spans="1:22" s="12" customFormat="1" ht="22.5" customHeight="1">
      <c r="A72" s="22" t="s">
        <v>12</v>
      </c>
      <c r="B72" s="19">
        <f>COUNTIF('동해면 상정리'!$C$6:$C$100,"구")</f>
        <v>1</v>
      </c>
      <c r="C72" s="20" t="s">
        <v>5</v>
      </c>
      <c r="D72" s="21">
        <f>SUMIF('동해면 상정리'!$C$6:$C$100,"구",'동해면 상정리'!$E$6:$E$100)</f>
        <v>558</v>
      </c>
      <c r="E72" s="19">
        <f>COUNTIF('동해면 상정리'!$N$6:$N$100,"구국")</f>
        <v>1</v>
      </c>
      <c r="F72" s="20" t="s">
        <v>5</v>
      </c>
      <c r="G72" s="21">
        <f>SUMIF('동해면 상정리'!$N$6:$N$100,"구국",'동해면 상정리'!$E$6:$E$100)</f>
        <v>558</v>
      </c>
      <c r="H72" s="19">
        <f>COUNTIF('동해면 상정리'!$N$6:$N$100,"구공")</f>
        <v>0</v>
      </c>
      <c r="I72" s="20" t="s">
        <v>5</v>
      </c>
      <c r="J72" s="170">
        <f>SUMIF('동해면 상정리'!$N$6:$N$100,"구공",'동해면 상정리'!$E$6:$E$100)</f>
        <v>0</v>
      </c>
      <c r="K72" s="19">
        <f t="shared" si="4"/>
        <v>0</v>
      </c>
      <c r="L72" s="20" t="s">
        <v>5</v>
      </c>
      <c r="M72" s="21">
        <f t="shared" si="5"/>
        <v>0</v>
      </c>
      <c r="N72" s="23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22.5" customHeight="1">
      <c r="A73" s="22" t="s">
        <v>11</v>
      </c>
      <c r="B73" s="19">
        <f>COUNTIF('동해면 상정리'!$C$6:$C$100,"천")</f>
        <v>0</v>
      </c>
      <c r="C73" s="20" t="s">
        <v>5</v>
      </c>
      <c r="D73" s="21">
        <f>SUMIF('동해면 상정리'!$C$6:$C$100,"천",'동해면 상정리'!$E$6:$E$100)</f>
        <v>0</v>
      </c>
      <c r="E73" s="19">
        <f>COUNTIF('동해면 상정리'!$N$6:$N$100,"천국")</f>
        <v>0</v>
      </c>
      <c r="F73" s="20" t="s">
        <v>5</v>
      </c>
      <c r="G73" s="21">
        <f>SUMIF('동해면 상정리'!$N$6:$N$100,"천국",'동해면 상정리'!$E$6:$E$100)</f>
        <v>0</v>
      </c>
      <c r="H73" s="19">
        <f>COUNTIF('동해면 상정리'!$N$6:$N$100,"천공")</f>
        <v>0</v>
      </c>
      <c r="I73" s="20" t="s">
        <v>5</v>
      </c>
      <c r="J73" s="170">
        <f>SUMIF('동해면 상정리'!$N$6:$N$100,"천공",'동해면 상정리'!$E$6:$E$100)</f>
        <v>0</v>
      </c>
      <c r="K73" s="19">
        <f t="shared" si="4"/>
        <v>0</v>
      </c>
      <c r="L73" s="20" t="s">
        <v>5</v>
      </c>
      <c r="M73" s="21">
        <f t="shared" si="5"/>
        <v>0</v>
      </c>
      <c r="N73" s="23"/>
      <c r="O73" s="11"/>
      <c r="P73" s="11"/>
      <c r="Q73" s="11"/>
      <c r="R73" s="11"/>
      <c r="S73" s="11"/>
      <c r="T73" s="11"/>
      <c r="U73" s="11"/>
      <c r="V73" s="11"/>
    </row>
    <row r="74" spans="1:22" s="12" customFormat="1" ht="22.5" customHeight="1">
      <c r="A74" s="22" t="s">
        <v>14</v>
      </c>
      <c r="B74" s="19">
        <f>COUNTIF('동해면 상정리'!$C$6:$C$100,"유")</f>
        <v>0</v>
      </c>
      <c r="C74" s="20" t="s">
        <v>5</v>
      </c>
      <c r="D74" s="21">
        <f>SUMIF('동해면 상정리'!$C$6:$C$100,"유",'동해면 상정리'!$E$6:$E$100)</f>
        <v>0</v>
      </c>
      <c r="E74" s="19">
        <f>COUNTIF('동해면 상정리'!$N$6:$N$100,"유국")</f>
        <v>0</v>
      </c>
      <c r="F74" s="20" t="s">
        <v>5</v>
      </c>
      <c r="G74" s="21">
        <f>SUMIF('동해면 상정리'!$N$6:$N$100,"유국",'동해면 상정리'!$E$6:$E$100)</f>
        <v>0</v>
      </c>
      <c r="H74" s="19">
        <f>COUNTIF('동해면 상정리'!$N$6:$N$100,"유공")</f>
        <v>0</v>
      </c>
      <c r="I74" s="20" t="s">
        <v>5</v>
      </c>
      <c r="J74" s="170">
        <f>SUMIF('동해면 상정리'!$N$6:$N$100,"유공",'동해면 상정리'!$E$6:$E$100)</f>
        <v>0</v>
      </c>
      <c r="K74" s="19">
        <f t="shared" si="4"/>
        <v>0</v>
      </c>
      <c r="L74" s="20" t="s">
        <v>5</v>
      </c>
      <c r="M74" s="21">
        <f t="shared" si="5"/>
        <v>0</v>
      </c>
      <c r="N74" s="23"/>
      <c r="O74" s="11"/>
      <c r="P74" s="11"/>
      <c r="Q74" s="11"/>
      <c r="R74" s="11"/>
      <c r="S74" s="11"/>
      <c r="T74" s="11"/>
      <c r="U74" s="11"/>
      <c r="V74" s="11"/>
    </row>
    <row r="75" spans="1:22" s="12" customFormat="1" ht="22.5" customHeight="1">
      <c r="A75" s="22" t="s">
        <v>13</v>
      </c>
      <c r="B75" s="19">
        <f>COUNTIF('동해면 상정리'!$C$6:$C$100,"제")</f>
        <v>0</v>
      </c>
      <c r="C75" s="20" t="s">
        <v>5</v>
      </c>
      <c r="D75" s="21">
        <f>SUMIF('동해면 상정리'!$C$6:$C$100,"제",'동해면 상정리'!$E$6:$E$100)</f>
        <v>0</v>
      </c>
      <c r="E75" s="19">
        <f>COUNTIF('동해면 상정리'!$N$6:$N$100,"제국")</f>
        <v>0</v>
      </c>
      <c r="F75" s="20" t="s">
        <v>5</v>
      </c>
      <c r="G75" s="21">
        <f>SUMIF('동해면 상정리'!$N$6:$N$100,"제국",'동해면 상정리'!$E$6:$E$100)</f>
        <v>0</v>
      </c>
      <c r="H75" s="19">
        <f>COUNTIF('동해면 상정리'!$N$6:$N$100,"제공")</f>
        <v>0</v>
      </c>
      <c r="I75" s="20" t="s">
        <v>5</v>
      </c>
      <c r="J75" s="170">
        <f>SUMIF('동해면 상정리'!$N$6:$N$100,"제공",'동해면 상정리'!$E$6:$E$100)</f>
        <v>0</v>
      </c>
      <c r="K75" s="19">
        <f t="shared" si="4"/>
        <v>0</v>
      </c>
      <c r="L75" s="20" t="s">
        <v>5</v>
      </c>
      <c r="M75" s="21">
        <f t="shared" si="5"/>
        <v>0</v>
      </c>
      <c r="N75" s="23"/>
      <c r="O75" s="11"/>
      <c r="P75" s="11"/>
      <c r="Q75" s="11"/>
      <c r="R75" s="11"/>
      <c r="S75" s="11"/>
      <c r="T75" s="11"/>
      <c r="U75" s="11"/>
      <c r="V75" s="11"/>
    </row>
    <row r="76" spans="1:22" s="12" customFormat="1" ht="22.5" customHeight="1">
      <c r="A76" s="22" t="s">
        <v>15</v>
      </c>
      <c r="B76" s="19">
        <f>COUNTIF('동해면 상정리'!$C$6:$C$100,"과")</f>
        <v>0</v>
      </c>
      <c r="C76" s="20" t="s">
        <v>5</v>
      </c>
      <c r="D76" s="21">
        <f>SUMIF('동해면 상정리'!$C$6:$C$100,"과",'동해면 상정리'!$E$6:$E$100)</f>
        <v>0</v>
      </c>
      <c r="E76" s="19">
        <f>COUNTIF('동해면 상정리'!$N$6:$N$100,"과국")</f>
        <v>0</v>
      </c>
      <c r="F76" s="20" t="s">
        <v>5</v>
      </c>
      <c r="G76" s="21">
        <f>SUMIF('동해면 상정리'!$N$6:$N$100,"과국",'동해면 상정리'!$E$6:$E$100)</f>
        <v>0</v>
      </c>
      <c r="H76" s="19">
        <f>COUNTIF('동해면 상정리'!$N$6:$N$100,"과공")</f>
        <v>0</v>
      </c>
      <c r="I76" s="20" t="s">
        <v>5</v>
      </c>
      <c r="J76" s="170">
        <f>SUMIF('동해면 상정리'!$N$6:$N$100,"과공",'동해면 상정리'!$E$6:$E$100)</f>
        <v>0</v>
      </c>
      <c r="K76" s="19">
        <f t="shared" si="4"/>
        <v>0</v>
      </c>
      <c r="L76" s="20" t="s">
        <v>5</v>
      </c>
      <c r="M76" s="21">
        <f t="shared" si="5"/>
        <v>0</v>
      </c>
      <c r="N76" s="23"/>
      <c r="O76" s="11"/>
      <c r="P76" s="11"/>
      <c r="Q76" s="11"/>
      <c r="R76" s="11"/>
      <c r="S76" s="11"/>
      <c r="T76" s="11"/>
      <c r="U76" s="11"/>
      <c r="V76" s="11"/>
    </row>
    <row r="77" spans="1:22" s="12" customFormat="1" ht="22.5" customHeight="1">
      <c r="A77" s="22" t="s">
        <v>20</v>
      </c>
      <c r="B77" s="19">
        <f>COUNTIF('동해면 상정리'!$C$6:$C$100,"장")</f>
        <v>0</v>
      </c>
      <c r="C77" s="20" t="s">
        <v>5</v>
      </c>
      <c r="D77" s="21">
        <f>SUMIF('동해면 상정리'!$C$6:$C$100,"장",'동해면 상정리'!$E$6:$E$100)</f>
        <v>0</v>
      </c>
      <c r="E77" s="19">
        <f>COUNTIF('동해면 상정리'!$N$6:$N$100,"장국")</f>
        <v>0</v>
      </c>
      <c r="F77" s="20" t="s">
        <v>5</v>
      </c>
      <c r="G77" s="21">
        <f>SUMIF('동해면 상정리'!$N$6:$N$100,"장국",'동해면 상정리'!$E$6:$E$100)</f>
        <v>0</v>
      </c>
      <c r="H77" s="19">
        <f>COUNTIF('동해면 상정리'!$N$6:$N$100,"장공")</f>
        <v>0</v>
      </c>
      <c r="I77" s="20" t="s">
        <v>5</v>
      </c>
      <c r="J77" s="170">
        <f>SUMIF('동해면 상정리'!$N$6:$N$100,"장공",'동해면 상정리'!$E$6:$E$100)</f>
        <v>0</v>
      </c>
      <c r="K77" s="19">
        <f t="shared" si="4"/>
        <v>0</v>
      </c>
      <c r="L77" s="20" t="s">
        <v>5</v>
      </c>
      <c r="M77" s="21">
        <f t="shared" si="5"/>
        <v>0</v>
      </c>
      <c r="N77" s="23"/>
      <c r="O77" s="11"/>
      <c r="P77" s="11"/>
      <c r="Q77" s="11"/>
      <c r="R77" s="11"/>
      <c r="S77" s="11"/>
      <c r="T77" s="11"/>
      <c r="U77" s="11"/>
      <c r="V77" s="11"/>
    </row>
    <row r="78" spans="1:22" s="12" customFormat="1" ht="22.5" customHeight="1">
      <c r="A78" s="22" t="s">
        <v>17</v>
      </c>
      <c r="B78" s="19">
        <f>COUNTIF('동해면 상정리'!$C$6:$C$100,"목")</f>
        <v>0</v>
      </c>
      <c r="C78" s="20" t="s">
        <v>5</v>
      </c>
      <c r="D78" s="21">
        <f>SUMIF('동해면 상정리'!$C$6:$C$100,"목",'동해면 상정리'!$E$6:$E$100)</f>
        <v>0</v>
      </c>
      <c r="E78" s="19">
        <f>COUNTIF('동해면 상정리'!$N$6:$N$100,"목국")</f>
        <v>0</v>
      </c>
      <c r="F78" s="20" t="s">
        <v>5</v>
      </c>
      <c r="G78" s="21">
        <f>SUMIF('동해면 상정리'!$N$6:$N$100,"목국",'동해면 상정리'!$E$6:$E$100)</f>
        <v>0</v>
      </c>
      <c r="H78" s="19">
        <f>COUNTIF('동해면 상정리'!$N$6:$N$100,"목공")</f>
        <v>0</v>
      </c>
      <c r="I78" s="20" t="s">
        <v>5</v>
      </c>
      <c r="J78" s="170">
        <f>SUMIF('동해면 상정리'!$N$6:$N$100,"목공",'동해면 상정리'!$E$6:$E$100)</f>
        <v>0</v>
      </c>
      <c r="K78" s="19">
        <f t="shared" si="4"/>
        <v>0</v>
      </c>
      <c r="L78" s="20" t="s">
        <v>5</v>
      </c>
      <c r="M78" s="21">
        <f t="shared" si="5"/>
        <v>0</v>
      </c>
      <c r="N78" s="23"/>
      <c r="O78" s="11"/>
      <c r="P78" s="11"/>
      <c r="Q78" s="11"/>
      <c r="R78" s="11"/>
      <c r="S78" s="11"/>
      <c r="T78" s="11"/>
      <c r="U78" s="11"/>
      <c r="V78" s="11"/>
    </row>
    <row r="79" spans="1:22" s="12" customFormat="1" ht="22.5" customHeight="1">
      <c r="A79" s="22" t="s">
        <v>22</v>
      </c>
      <c r="B79" s="19">
        <f>COUNTIF('동해면 상정리'!$C$6:$C$100,"학")</f>
        <v>0</v>
      </c>
      <c r="C79" s="20" t="s">
        <v>5</v>
      </c>
      <c r="D79" s="21">
        <f>SUMIF('동해면 상정리'!$C$6:$C$100,"학",'동해면 상정리'!$E$6:$E$100)</f>
        <v>0</v>
      </c>
      <c r="E79" s="19">
        <f>COUNTIF('동해면 상정리'!$N$6:$N$100,"학국")</f>
        <v>0</v>
      </c>
      <c r="F79" s="20" t="s">
        <v>5</v>
      </c>
      <c r="G79" s="21">
        <f>SUMIF('동해면 상정리'!$N$6:$N$100,"학국",'동해면 상정리'!$E$6:$E$100)</f>
        <v>0</v>
      </c>
      <c r="H79" s="19">
        <f>COUNTIF('동해면 상정리'!$N$6:$N$100,"학공")</f>
        <v>0</v>
      </c>
      <c r="I79" s="20" t="s">
        <v>5</v>
      </c>
      <c r="J79" s="170">
        <f>SUMIF('동해면 상정리'!$N$6:$N$100,"학공",'동해면 상정리'!$E$6:$E$100)</f>
        <v>0</v>
      </c>
      <c r="K79" s="19">
        <f t="shared" si="4"/>
        <v>0</v>
      </c>
      <c r="L79" s="20" t="s">
        <v>5</v>
      </c>
      <c r="M79" s="21">
        <f t="shared" si="5"/>
        <v>0</v>
      </c>
      <c r="N79" s="23"/>
      <c r="O79" s="11"/>
      <c r="P79" s="11"/>
      <c r="Q79" s="11"/>
      <c r="R79" s="11"/>
      <c r="S79" s="11"/>
      <c r="T79" s="11"/>
      <c r="U79" s="11"/>
      <c r="V79" s="11"/>
    </row>
    <row r="80" spans="1:22" s="12" customFormat="1" ht="22.5" customHeight="1">
      <c r="A80" s="22" t="s">
        <v>38</v>
      </c>
      <c r="B80" s="19">
        <f>COUNTIF('동해면 상정리'!$C$6:$C$100,"철")</f>
        <v>0</v>
      </c>
      <c r="C80" s="20" t="s">
        <v>5</v>
      </c>
      <c r="D80" s="21">
        <f>SUMIF('동해면 상정리'!$C$6:$C$100,"철",'동해면 상정리'!$E$6:$E$100)</f>
        <v>0</v>
      </c>
      <c r="E80" s="19">
        <f>COUNTIF('동해면 상정리'!$N$6:$N$100,"철국")</f>
        <v>0</v>
      </c>
      <c r="F80" s="20" t="s">
        <v>5</v>
      </c>
      <c r="G80" s="21">
        <f>SUMIF('동해면 상정리'!$N$6:$N$100,"철국",'동해면 상정리'!$E$6:$E$100)</f>
        <v>0</v>
      </c>
      <c r="H80" s="19">
        <f>COUNTIF('동해면 상정리'!$N$6:$N$100,"철공")</f>
        <v>0</v>
      </c>
      <c r="I80" s="20" t="s">
        <v>5</v>
      </c>
      <c r="J80" s="170">
        <f>SUMIF('동해면 상정리'!$N$6:$N$100,"철공",'동해면 상정리'!$E$6:$E$100)</f>
        <v>0</v>
      </c>
      <c r="K80" s="19">
        <f t="shared" si="4"/>
        <v>0</v>
      </c>
      <c r="L80" s="20" t="s">
        <v>5</v>
      </c>
      <c r="M80" s="21">
        <f t="shared" si="5"/>
        <v>0</v>
      </c>
      <c r="N80" s="23"/>
      <c r="O80" s="11"/>
      <c r="P80" s="11"/>
      <c r="Q80" s="11"/>
      <c r="R80" s="11"/>
      <c r="S80" s="11"/>
      <c r="T80" s="11"/>
      <c r="U80" s="11"/>
      <c r="V80" s="11"/>
    </row>
    <row r="81" spans="1:22" s="12" customFormat="1" ht="22.5" customHeight="1">
      <c r="A81" s="22" t="s">
        <v>16</v>
      </c>
      <c r="B81" s="19">
        <f>COUNTIF('동해면 상정리'!$C$6:$C$100,"묘")</f>
        <v>1</v>
      </c>
      <c r="C81" s="20" t="s">
        <v>5</v>
      </c>
      <c r="D81" s="21">
        <f>SUMIF('동해면 상정리'!$C$6:$C$100,"묘",'동해면 상정리'!$E$6:$E$100)</f>
        <v>38</v>
      </c>
      <c r="E81" s="19">
        <f>COUNTIF('동해면 상정리'!$N$6:$N$100,"묘국")</f>
        <v>0</v>
      </c>
      <c r="F81" s="20" t="s">
        <v>5</v>
      </c>
      <c r="G81" s="21">
        <f>SUMIF('동해면 상정리'!$N$6:$N$100,"묘국",'동해면 상정리'!$E$6:$E$100)</f>
        <v>0</v>
      </c>
      <c r="H81" s="19">
        <f>COUNTIF('동해면 상정리'!$N$6:$N$100,"묘공")</f>
        <v>0</v>
      </c>
      <c r="I81" s="20" t="s">
        <v>5</v>
      </c>
      <c r="J81" s="170">
        <f>SUMIF('동해면 상정리'!$N$6:$N$100,"묘공",'동해면 상정리'!$E$6:$E$100)</f>
        <v>0</v>
      </c>
      <c r="K81" s="19">
        <f t="shared" si="4"/>
        <v>1</v>
      </c>
      <c r="L81" s="20" t="s">
        <v>5</v>
      </c>
      <c r="M81" s="21">
        <f t="shared" si="5"/>
        <v>38</v>
      </c>
      <c r="N81" s="23"/>
      <c r="O81" s="11"/>
      <c r="P81" s="11"/>
      <c r="Q81" s="11"/>
      <c r="R81" s="11"/>
      <c r="S81" s="11"/>
      <c r="T81" s="11"/>
      <c r="U81" s="11"/>
      <c r="V81" s="11"/>
    </row>
    <row r="82" spans="1:22" s="12" customFormat="1" ht="22.5" customHeight="1">
      <c r="A82" s="22" t="s">
        <v>19</v>
      </c>
      <c r="B82" s="19">
        <f>COUNTIF('동해면 상정리'!$C$6:$C$100,"수")</f>
        <v>0</v>
      </c>
      <c r="C82" s="20" t="s">
        <v>5</v>
      </c>
      <c r="D82" s="21">
        <f>SUMIF('동해면 상정리'!$C$6:$C$100,"수",'동해면 상정리'!$E$6:$E$100)</f>
        <v>0</v>
      </c>
      <c r="E82" s="19">
        <f>COUNTIF('동해면 상정리'!$N$6:$N$100,"수국")</f>
        <v>0</v>
      </c>
      <c r="F82" s="20" t="s">
        <v>5</v>
      </c>
      <c r="G82" s="21">
        <f>SUMIF('동해면 상정리'!$N$6:$N$100,"수국",'동해면 상정리'!$E$6:$E$100)</f>
        <v>0</v>
      </c>
      <c r="H82" s="19">
        <f>COUNTIF('동해면 상정리'!$N$6:$N$100,"수공")</f>
        <v>0</v>
      </c>
      <c r="I82" s="20" t="s">
        <v>5</v>
      </c>
      <c r="J82" s="170">
        <f>SUMIF('동해면 상정리'!$N$6:$N$100,"수공",'동해면 상정리'!$E$6:$E$100)</f>
        <v>0</v>
      </c>
      <c r="K82" s="19">
        <f t="shared" si="4"/>
        <v>0</v>
      </c>
      <c r="L82" s="20" t="s">
        <v>5</v>
      </c>
      <c r="M82" s="21">
        <f t="shared" si="5"/>
        <v>0</v>
      </c>
      <c r="N82" s="23"/>
      <c r="O82" s="11"/>
      <c r="P82" s="11"/>
      <c r="Q82" s="11"/>
      <c r="R82" s="11"/>
      <c r="S82" s="11"/>
      <c r="T82" s="11"/>
      <c r="U82" s="11"/>
      <c r="V82" s="11"/>
    </row>
    <row r="83" spans="1:22" s="12" customFormat="1" ht="22.5" customHeight="1">
      <c r="A83" s="22" t="s">
        <v>18</v>
      </c>
      <c r="B83" s="19">
        <f>COUNTIF('동해면 상정리'!$C$6:$C$100,"잡")</f>
        <v>1</v>
      </c>
      <c r="C83" s="20" t="s">
        <v>5</v>
      </c>
      <c r="D83" s="21">
        <f>SUMIF('동해면 상정리'!$C$6:$C$100,"잡",'동해면 상정리'!$E$6:$E$100)</f>
        <v>1029</v>
      </c>
      <c r="E83" s="19">
        <f>COUNTIF('동해면 상정리'!$N$6:$N$100,"잡국")</f>
        <v>0</v>
      </c>
      <c r="F83" s="20" t="s">
        <v>5</v>
      </c>
      <c r="G83" s="21">
        <f>SUMIF('동해면 상정리'!$N$6:$N$100,"잡국",'동해면 상정리'!$E$6:$E$100)</f>
        <v>0</v>
      </c>
      <c r="H83" s="19">
        <f>COUNTIF('동해면 상정리'!$N$6:$N$100,"잡공")</f>
        <v>0</v>
      </c>
      <c r="I83" s="20" t="s">
        <v>5</v>
      </c>
      <c r="J83" s="170">
        <f>SUMIF('동해면 상정리'!$N$6:$N$100,"잡공",'동해면 상정리'!$E$6:$E$100)</f>
        <v>0</v>
      </c>
      <c r="K83" s="19">
        <f t="shared" si="4"/>
        <v>1</v>
      </c>
      <c r="L83" s="20" t="s">
        <v>5</v>
      </c>
      <c r="M83" s="21">
        <f t="shared" si="5"/>
        <v>1029</v>
      </c>
      <c r="N83" s="23"/>
      <c r="O83" s="11"/>
      <c r="P83" s="11"/>
      <c r="Q83" s="11"/>
      <c r="R83" s="11"/>
      <c r="S83" s="11"/>
      <c r="T83" s="11"/>
      <c r="U83" s="11"/>
      <c r="V83" s="11"/>
    </row>
    <row r="84" spans="1:22" s="12" customFormat="1" ht="22.5" customHeight="1">
      <c r="A84" s="22" t="s">
        <v>39</v>
      </c>
      <c r="B84" s="19">
        <f>COUNTIF('동해면 상정리'!$C$6:$C$100,"종")</f>
        <v>0</v>
      </c>
      <c r="C84" s="20" t="s">
        <v>5</v>
      </c>
      <c r="D84" s="21">
        <f>SUMIF('동해면 상정리'!$C$6:$C$100,"종",'동해면 상정리'!$E$6:$E$100)</f>
        <v>0</v>
      </c>
      <c r="E84" s="19">
        <f>COUNTIF('동해면 상정리'!$N$6:$N$100,"종국")</f>
        <v>0</v>
      </c>
      <c r="F84" s="20" t="s">
        <v>5</v>
      </c>
      <c r="G84" s="21">
        <f>SUMIF('동해면 상정리'!$N$6:$N$100,"종국",'동해면 상정리'!$E$6:$E$100)</f>
        <v>0</v>
      </c>
      <c r="H84" s="19">
        <f>COUNTIF('동해면 상정리'!$N$6:$N$100,"종공")</f>
        <v>0</v>
      </c>
      <c r="I84" s="20" t="s">
        <v>5</v>
      </c>
      <c r="J84" s="170">
        <f>SUMIF('동해면 상정리'!$N$6:$N$100,"종공",'동해면 상정리'!$E$6:$E$100)</f>
        <v>0</v>
      </c>
      <c r="K84" s="19">
        <f t="shared" si="4"/>
        <v>0</v>
      </c>
      <c r="L84" s="20" t="s">
        <v>5</v>
      </c>
      <c r="M84" s="21">
        <f t="shared" si="5"/>
        <v>0</v>
      </c>
      <c r="N84" s="23"/>
      <c r="O84" s="11"/>
      <c r="P84" s="11"/>
      <c r="Q84" s="11"/>
      <c r="R84" s="11"/>
      <c r="S84" s="11"/>
      <c r="T84" s="11"/>
      <c r="U84" s="11"/>
      <c r="V84" s="11"/>
    </row>
    <row r="85" spans="1:22" s="12" customFormat="1" ht="22.5" customHeight="1">
      <c r="A85" s="25" t="s">
        <v>40</v>
      </c>
      <c r="B85" s="19">
        <f>COUNTIF('동해면 상정리'!$C$6:$C$100,"염")</f>
        <v>0</v>
      </c>
      <c r="C85" s="20" t="s">
        <v>5</v>
      </c>
      <c r="D85" s="21">
        <f>SUMIF('동해면 상정리'!$C$6:$C$100,"염",'동해면 상정리'!$E$6:$E$100)</f>
        <v>0</v>
      </c>
      <c r="E85" s="19">
        <f>COUNTIF('동해면 상정리'!$N$6:$N$100,"염국")</f>
        <v>0</v>
      </c>
      <c r="F85" s="20" t="s">
        <v>5</v>
      </c>
      <c r="G85" s="21">
        <f>SUMIF('동해면 상정리'!$N$6:$N$100,"염국",'동해면 상정리'!$E$6:$E$100)</f>
        <v>0</v>
      </c>
      <c r="H85" s="19">
        <f>COUNTIF('동해면 상정리'!$N$6:$N$100,"염공")</f>
        <v>0</v>
      </c>
      <c r="I85" s="20" t="s">
        <v>5</v>
      </c>
      <c r="J85" s="170">
        <f>SUMIF('동해면 상정리'!$N$6:$N$100,"염공",'동해면 상정리'!$E$6:$E$100)</f>
        <v>0</v>
      </c>
      <c r="K85" s="19">
        <f t="shared" si="4"/>
        <v>0</v>
      </c>
      <c r="L85" s="20" t="s">
        <v>5</v>
      </c>
      <c r="M85" s="21">
        <f t="shared" si="5"/>
        <v>0</v>
      </c>
      <c r="N85" s="23"/>
      <c r="O85" s="11"/>
      <c r="P85" s="11"/>
      <c r="Q85" s="11"/>
      <c r="R85" s="11"/>
      <c r="S85" s="11"/>
      <c r="T85" s="11"/>
      <c r="U85" s="11"/>
      <c r="V85" s="11"/>
    </row>
    <row r="86" spans="1:22" s="12" customFormat="1" ht="22.5" customHeight="1">
      <c r="A86" s="25" t="s">
        <v>41</v>
      </c>
      <c r="B86" s="19">
        <f>COUNTIF('동해면 상정리'!$C$6:$C$100,"공")</f>
        <v>0</v>
      </c>
      <c r="C86" s="20" t="s">
        <v>5</v>
      </c>
      <c r="D86" s="21">
        <f>SUMIF('동해면 상정리'!$C$6:$C$100,"공",'동해면 상정리'!$E$6:$E$100)</f>
        <v>0</v>
      </c>
      <c r="E86" s="19">
        <f>COUNTIF('동해면 상정리'!$N$6:$N$100,"공국")</f>
        <v>0</v>
      </c>
      <c r="F86" s="20" t="s">
        <v>5</v>
      </c>
      <c r="G86" s="21">
        <f>SUMIF('동해면 상정리'!$N$6:$N$100,"공국",'동해면 상정리'!$E$6:$E$100)</f>
        <v>0</v>
      </c>
      <c r="H86" s="19">
        <f>COUNTIF('동해면 상정리'!$N$6:$N$100,"공공")</f>
        <v>0</v>
      </c>
      <c r="I86" s="20" t="s">
        <v>5</v>
      </c>
      <c r="J86" s="170">
        <f>SUMIF('동해면 상정리'!$N$6:$N$100,"공공",'동해면 상정리'!$E$6:$E$100)</f>
        <v>0</v>
      </c>
      <c r="K86" s="19">
        <f t="shared" si="4"/>
        <v>0</v>
      </c>
      <c r="L86" s="20" t="s">
        <v>5</v>
      </c>
      <c r="M86" s="21">
        <f t="shared" si="5"/>
        <v>0</v>
      </c>
      <c r="N86" s="23"/>
      <c r="O86" s="11"/>
      <c r="P86" s="11"/>
      <c r="Q86" s="11"/>
      <c r="R86" s="11"/>
      <c r="S86" s="11"/>
      <c r="T86" s="11"/>
      <c r="U86" s="11"/>
      <c r="V86" s="11"/>
    </row>
    <row r="87" spans="1:22" s="12" customFormat="1" ht="22.5" customHeight="1">
      <c r="A87" s="25" t="s">
        <v>42</v>
      </c>
      <c r="B87" s="19">
        <f>COUNTIF('동해면 상정리'!$C$6:$C$100,"체")</f>
        <v>0</v>
      </c>
      <c r="C87" s="20" t="s">
        <v>5</v>
      </c>
      <c r="D87" s="21">
        <f>SUMIF('동해면 상정리'!$C$6:$C$100,"체",'동해면 상정리'!$E$6:$E$100)</f>
        <v>0</v>
      </c>
      <c r="E87" s="19">
        <f>COUNTIF('동해면 상정리'!$N$6:$N$100,"체국")</f>
        <v>0</v>
      </c>
      <c r="F87" s="20" t="s">
        <v>5</v>
      </c>
      <c r="G87" s="21">
        <f>SUMIF('동해면 상정리'!$N$6:$N$100,"체국",'동해면 상정리'!$E$6:$E$100)</f>
        <v>0</v>
      </c>
      <c r="H87" s="19">
        <f>COUNTIF('동해면 상정리'!$N$6:$N$100,"체공")</f>
        <v>0</v>
      </c>
      <c r="I87" s="20" t="s">
        <v>5</v>
      </c>
      <c r="J87" s="170">
        <f>SUMIF('동해면 상정리'!$N$6:$N$100,"체공",'동해면 상정리'!$E$6:$E$100)</f>
        <v>0</v>
      </c>
      <c r="K87" s="19">
        <f t="shared" si="4"/>
        <v>0</v>
      </c>
      <c r="L87" s="20" t="s">
        <v>5</v>
      </c>
      <c r="M87" s="21">
        <f t="shared" si="5"/>
        <v>0</v>
      </c>
      <c r="N87" s="23"/>
      <c r="O87" s="11"/>
      <c r="P87" s="11"/>
      <c r="Q87" s="11"/>
      <c r="R87" s="11"/>
      <c r="S87" s="11"/>
      <c r="T87" s="11"/>
      <c r="U87" s="11"/>
      <c r="V87" s="11"/>
    </row>
    <row r="88" spans="1:22" s="12" customFormat="1" ht="22.5" customHeight="1">
      <c r="A88" s="25" t="s">
        <v>43</v>
      </c>
      <c r="B88" s="19">
        <f>COUNTIF('동해면 상정리'!$C$6:$C$100,"원")</f>
        <v>0</v>
      </c>
      <c r="C88" s="20" t="s">
        <v>5</v>
      </c>
      <c r="D88" s="21">
        <f>SUMIF('동해면 상정리'!$C$6:$C$100,"원",'동해면 상정리'!$E$6:$E$100)</f>
        <v>0</v>
      </c>
      <c r="E88" s="19">
        <f>COUNTIF('동해면 상정리'!$N$6:$N$100,"원국")</f>
        <v>0</v>
      </c>
      <c r="F88" s="20" t="s">
        <v>5</v>
      </c>
      <c r="G88" s="21">
        <f>SUMIF('동해면 상정리'!$N$6:$N$100,"원국",'동해면 상정리'!$E$6:$E$100)</f>
        <v>0</v>
      </c>
      <c r="H88" s="19">
        <f>COUNTIF('동해면 상정리'!$N$6:$N$100,"원공")</f>
        <v>0</v>
      </c>
      <c r="I88" s="20" t="s">
        <v>5</v>
      </c>
      <c r="J88" s="170">
        <f>SUMIF('동해면 상정리'!$N$6:$N$100,"원공",'동해면 상정리'!$E$6:$E$100)</f>
        <v>0</v>
      </c>
      <c r="K88" s="19">
        <f t="shared" si="4"/>
        <v>0</v>
      </c>
      <c r="L88" s="20" t="s">
        <v>5</v>
      </c>
      <c r="M88" s="21">
        <f t="shared" si="5"/>
        <v>0</v>
      </c>
      <c r="N88" s="23"/>
      <c r="O88" s="11"/>
      <c r="P88" s="11"/>
      <c r="Q88" s="11"/>
      <c r="R88" s="11"/>
      <c r="S88" s="11"/>
      <c r="T88" s="11"/>
      <c r="U88" s="11"/>
      <c r="V88" s="11"/>
    </row>
    <row r="89" spans="1:22" s="12" customFormat="1" ht="22.5" customHeight="1">
      <c r="A89" s="25" t="s">
        <v>1</v>
      </c>
      <c r="B89" s="19">
        <f>COUNTIF('동해면 상정리'!$C$6:$C$100,"창")</f>
        <v>0</v>
      </c>
      <c r="C89" s="20" t="s">
        <v>5</v>
      </c>
      <c r="D89" s="21">
        <f>SUMIF('동해면 상정리'!$C$6:$C$100,"창",'동해면 상정리'!$E$6:$E$100)</f>
        <v>0</v>
      </c>
      <c r="E89" s="19">
        <f>COUNTIF('동해면 상정리'!$N$6:$N$100,"사창국")</f>
        <v>0</v>
      </c>
      <c r="F89" s="20" t="s">
        <v>5</v>
      </c>
      <c r="G89" s="21">
        <f>SUMIF('동해면 상정리'!$N$6:$N$100,"창국",'동해면 상정리'!$E$6:$E$100)</f>
        <v>0</v>
      </c>
      <c r="H89" s="19">
        <f>COUNTIF('동해면 상정리'!$N$6:$N$100,"창공")</f>
        <v>0</v>
      </c>
      <c r="I89" s="20" t="s">
        <v>5</v>
      </c>
      <c r="J89" s="170">
        <f>SUMIF('동해면 상정리'!$N$6:$N$100,"창공",'동해면 상정리'!$E$6:$E$100)</f>
        <v>0</v>
      </c>
      <c r="K89" s="19">
        <f t="shared" si="4"/>
        <v>0</v>
      </c>
      <c r="L89" s="20" t="s">
        <v>5</v>
      </c>
      <c r="M89" s="21">
        <f t="shared" si="5"/>
        <v>0</v>
      </c>
      <c r="N89" s="23"/>
      <c r="O89" s="11"/>
      <c r="P89" s="11"/>
      <c r="Q89" s="11"/>
      <c r="R89" s="11"/>
      <c r="S89" s="11"/>
      <c r="T89" s="11"/>
      <c r="U89" s="11"/>
      <c r="V89" s="11"/>
    </row>
    <row r="90" spans="1:22" s="12" customFormat="1" ht="22.5" customHeight="1">
      <c r="A90" s="25" t="s">
        <v>274</v>
      </c>
      <c r="B90" s="19">
        <f>COUNTIF('동해면 상정리'!$C$6:$C$100,"주")</f>
        <v>2</v>
      </c>
      <c r="C90" s="20" t="s">
        <v>5</v>
      </c>
      <c r="D90" s="21">
        <f>SUMIF('동해면 상정리'!$C$6:$C$100,"주",'동해면 상정리'!$E$6:$E$100)</f>
        <v>2986</v>
      </c>
      <c r="E90" s="19">
        <f>COUNTIF('동해면 상정리'!$N$6:$N$100,"주국")</f>
        <v>0</v>
      </c>
      <c r="F90" s="20" t="s">
        <v>5</v>
      </c>
      <c r="G90" s="21">
        <f>SUMIF('동해면 상정리'!$N$6:$N$100,"주국",'동해면 상정리'!$E$6:$E$100)</f>
        <v>0</v>
      </c>
      <c r="H90" s="19">
        <f>COUNTIF('동해면 상정리'!$N$6:$N$100,"주공")</f>
        <v>0</v>
      </c>
      <c r="I90" s="20" t="s">
        <v>5</v>
      </c>
      <c r="J90" s="170">
        <f>SUMIF('동해면 상정리'!$N$6:$N$100,"주공",'동해면 상정리'!$E$6:$E$100)</f>
        <v>0</v>
      </c>
      <c r="K90" s="19">
        <f t="shared" si="4"/>
        <v>2</v>
      </c>
      <c r="L90" s="20" t="s">
        <v>5</v>
      </c>
      <c r="M90" s="21">
        <f t="shared" si="5"/>
        <v>2986</v>
      </c>
      <c r="N90" s="23"/>
      <c r="O90" s="11"/>
      <c r="P90" s="11"/>
      <c r="Q90" s="11"/>
      <c r="R90" s="11"/>
      <c r="S90" s="11"/>
      <c r="T90" s="11"/>
      <c r="U90" s="11"/>
      <c r="V90" s="11"/>
    </row>
    <row r="91" spans="1:22" s="12" customFormat="1" ht="22.5" customHeight="1">
      <c r="A91" s="26" t="s">
        <v>23</v>
      </c>
      <c r="B91" s="27">
        <f>COUNTIF('동해면 상정리'!$C$6:$C$100," ")</f>
        <v>0</v>
      </c>
      <c r="C91" s="28" t="s">
        <v>5</v>
      </c>
      <c r="D91" s="29">
        <f>SUMIF('동해면 상정리'!$C$6:$C$100," ",'동해면 상정리'!$E$6:$E$100)</f>
        <v>0</v>
      </c>
      <c r="E91" s="27">
        <f>COUNTIF('동해면 상정리'!$N$6:$N$100," 국")</f>
        <v>0</v>
      </c>
      <c r="F91" s="28" t="s">
        <v>5</v>
      </c>
      <c r="G91" s="29">
        <f>SUMIF('동해면 상정리'!$N$6:$N$100," 국",'동해면 상정리'!$E$6:$E$100)</f>
        <v>0</v>
      </c>
      <c r="H91" s="27">
        <f>COUNTIF('동해면 상정리'!$N$6:$N$100," 공")</f>
        <v>0</v>
      </c>
      <c r="I91" s="28" t="s">
        <v>5</v>
      </c>
      <c r="J91" s="171">
        <f>SUMIF('동해면 상정리'!$N$6:$N$100," 공",'동해면 상정리'!$E$6:$E$100)</f>
        <v>0</v>
      </c>
      <c r="K91" s="27">
        <f>B91-E91-H91</f>
        <v>0</v>
      </c>
      <c r="L91" s="28" t="s">
        <v>5</v>
      </c>
      <c r="M91" s="29">
        <f>D91-G91-J91</f>
        <v>0</v>
      </c>
      <c r="N91" s="30"/>
      <c r="O91" s="11"/>
      <c r="P91" s="11"/>
      <c r="Q91" s="11"/>
      <c r="R91" s="11"/>
      <c r="S91" s="11"/>
      <c r="T91" s="11"/>
      <c r="U91" s="11"/>
      <c r="V91" s="11"/>
    </row>
  </sheetData>
  <sheetProtection/>
  <mergeCells count="3">
    <mergeCell ref="K2:N2"/>
    <mergeCell ref="K32:N32"/>
    <mergeCell ref="K62:N62"/>
  </mergeCells>
  <printOptions horizontalCentered="1" verticalCentered="1"/>
  <pageMargins left="0.36" right="0.36" top="0.7874015748031497" bottom="0.3937007874015748" header="0.3937007874015748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4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3.88671875" style="96" customWidth="1"/>
    <col min="2" max="2" width="7.77734375" style="129" customWidth="1"/>
    <col min="3" max="3" width="3.77734375" style="96" customWidth="1"/>
    <col min="4" max="4" width="7.4453125" style="96" customWidth="1"/>
    <col min="5" max="5" width="6.77734375" style="130" customWidth="1"/>
    <col min="6" max="7" width="4.77734375" style="96" customWidth="1"/>
    <col min="8" max="8" width="6.4453125" style="96" customWidth="1"/>
    <col min="9" max="9" width="11.3359375" style="96" customWidth="1"/>
    <col min="10" max="10" width="6.6640625" style="96" customWidth="1"/>
    <col min="11" max="11" width="12.4453125" style="96" customWidth="1"/>
    <col min="12" max="12" width="6.77734375" style="96" customWidth="1"/>
    <col min="13" max="13" width="4.77734375" style="96" customWidth="1"/>
    <col min="14" max="14" width="20.77734375" style="131" hidden="1" customWidth="1"/>
    <col min="15" max="15" width="9.77734375" style="96" hidden="1" customWidth="1"/>
    <col min="16" max="16" width="3.21484375" style="96" bestFit="1" customWidth="1"/>
    <col min="17" max="19" width="9.77734375" style="96" customWidth="1"/>
    <col min="20" max="20" width="10.77734375" style="96" customWidth="1"/>
    <col min="21" max="16384" width="8.88671875" style="96" customWidth="1"/>
  </cols>
  <sheetData>
    <row r="1" spans="1:20" ht="30" customHeight="1">
      <c r="A1" s="90" t="s">
        <v>60</v>
      </c>
      <c r="B1" s="91"/>
      <c r="C1" s="92"/>
      <c r="D1" s="92"/>
      <c r="E1" s="93"/>
      <c r="F1" s="92"/>
      <c r="G1" s="92"/>
      <c r="H1" s="92"/>
      <c r="I1" s="92"/>
      <c r="J1" s="92"/>
      <c r="K1" s="92"/>
      <c r="L1" s="92"/>
      <c r="M1" s="92"/>
      <c r="N1" s="94"/>
      <c r="O1" s="95"/>
      <c r="P1" s="95"/>
      <c r="Q1" s="95"/>
      <c r="R1" s="95"/>
      <c r="S1" s="95"/>
      <c r="T1" s="95"/>
    </row>
    <row r="2" spans="1:20" ht="19.5" customHeight="1">
      <c r="A2" s="97"/>
      <c r="B2" s="98"/>
      <c r="C2" s="97"/>
      <c r="D2" s="97"/>
      <c r="E2" s="99"/>
      <c r="F2" s="97"/>
      <c r="G2" s="97"/>
      <c r="H2" s="97"/>
      <c r="I2" s="97"/>
      <c r="J2" s="100"/>
      <c r="K2" s="212" t="s">
        <v>73</v>
      </c>
      <c r="L2" s="212"/>
      <c r="M2" s="212"/>
      <c r="N2" s="101"/>
      <c r="O2" s="95"/>
      <c r="P2" s="95"/>
      <c r="Q2" s="95"/>
      <c r="R2" s="95"/>
      <c r="S2" s="95"/>
      <c r="T2" s="95"/>
    </row>
    <row r="3" spans="1:20" ht="9.75" customHeight="1">
      <c r="A3" s="97"/>
      <c r="B3" s="98"/>
      <c r="C3" s="97"/>
      <c r="D3" s="97"/>
      <c r="E3" s="99"/>
      <c r="F3" s="97"/>
      <c r="G3" s="97"/>
      <c r="H3" s="97"/>
      <c r="I3" s="97"/>
      <c r="J3" s="97"/>
      <c r="K3" s="97"/>
      <c r="L3" s="97"/>
      <c r="M3" s="97"/>
      <c r="N3" s="97"/>
      <c r="O3" s="95"/>
      <c r="P3" s="95"/>
      <c r="Q3" s="95"/>
      <c r="R3" s="95"/>
      <c r="S3" s="95"/>
      <c r="T3" s="95"/>
    </row>
    <row r="4" spans="1:20" s="106" customFormat="1" ht="27" customHeight="1">
      <c r="A4" s="143" t="s">
        <v>24</v>
      </c>
      <c r="B4" s="213" t="s">
        <v>25</v>
      </c>
      <c r="C4" s="214" t="s">
        <v>26</v>
      </c>
      <c r="D4" s="145" t="s">
        <v>27</v>
      </c>
      <c r="E4" s="146" t="s">
        <v>28</v>
      </c>
      <c r="F4" s="102" t="s">
        <v>29</v>
      </c>
      <c r="G4" s="102"/>
      <c r="H4" s="214" t="s">
        <v>30</v>
      </c>
      <c r="I4" s="214"/>
      <c r="J4" s="103" t="s">
        <v>31</v>
      </c>
      <c r="K4" s="102"/>
      <c r="L4" s="102"/>
      <c r="M4" s="215" t="s">
        <v>21</v>
      </c>
      <c r="N4" s="104"/>
      <c r="O4" s="105"/>
      <c r="P4" s="105"/>
      <c r="Q4" s="105"/>
      <c r="R4" s="105"/>
      <c r="S4" s="105"/>
      <c r="T4" s="105"/>
    </row>
    <row r="5" spans="1:20" s="106" customFormat="1" ht="27" customHeight="1">
      <c r="A5" s="144" t="s">
        <v>32</v>
      </c>
      <c r="B5" s="213"/>
      <c r="C5" s="214"/>
      <c r="D5" s="147" t="s">
        <v>53</v>
      </c>
      <c r="E5" s="147" t="s">
        <v>53</v>
      </c>
      <c r="F5" s="132" t="s">
        <v>26</v>
      </c>
      <c r="G5" s="133" t="s">
        <v>33</v>
      </c>
      <c r="H5" s="133" t="s">
        <v>34</v>
      </c>
      <c r="I5" s="132" t="s">
        <v>35</v>
      </c>
      <c r="J5" s="133" t="s">
        <v>34</v>
      </c>
      <c r="K5" s="133" t="s">
        <v>35</v>
      </c>
      <c r="L5" s="132" t="s">
        <v>36</v>
      </c>
      <c r="M5" s="215"/>
      <c r="N5" s="107"/>
      <c r="O5" s="108"/>
      <c r="P5" s="109"/>
      <c r="Q5" s="109"/>
      <c r="R5" s="109"/>
      <c r="S5" s="109"/>
      <c r="T5" s="110"/>
    </row>
    <row r="6" spans="1:20" ht="27" customHeight="1">
      <c r="A6" s="190">
        <v>1</v>
      </c>
      <c r="B6" s="190" t="s">
        <v>79</v>
      </c>
      <c r="C6" s="190" t="s">
        <v>7</v>
      </c>
      <c r="D6" s="191">
        <v>400</v>
      </c>
      <c r="E6" s="191">
        <v>58</v>
      </c>
      <c r="F6" s="114"/>
      <c r="G6" s="114"/>
      <c r="H6" s="112" t="s">
        <v>310</v>
      </c>
      <c r="I6" s="112" t="s">
        <v>311</v>
      </c>
      <c r="J6" s="115"/>
      <c r="K6" s="192"/>
      <c r="L6" s="115"/>
      <c r="M6" s="116"/>
      <c r="N6" s="117" t="str">
        <f>CONCATENATE(C6,H6)</f>
        <v>답국</v>
      </c>
      <c r="O6" s="118" t="str">
        <f>IF(D6&gt;=E6,"-","ERR")</f>
        <v>-</v>
      </c>
      <c r="P6" s="119"/>
      <c r="Q6" s="118"/>
      <c r="R6" s="118"/>
      <c r="S6" s="118"/>
      <c r="T6" s="118"/>
    </row>
    <row r="7" spans="1:20" ht="27" customHeight="1">
      <c r="A7" s="190">
        <v>2</v>
      </c>
      <c r="B7" s="190" t="s">
        <v>80</v>
      </c>
      <c r="C7" s="190" t="s">
        <v>67</v>
      </c>
      <c r="D7" s="191">
        <v>71</v>
      </c>
      <c r="E7" s="191">
        <v>71</v>
      </c>
      <c r="F7" s="114"/>
      <c r="G7" s="114"/>
      <c r="H7" s="112" t="s">
        <v>310</v>
      </c>
      <c r="I7" s="112" t="s">
        <v>319</v>
      </c>
      <c r="J7" s="115"/>
      <c r="K7" s="192"/>
      <c r="L7" s="115"/>
      <c r="M7" s="116"/>
      <c r="N7" s="117" t="str">
        <f aca="true" t="shared" si="0" ref="N7:N69">CONCATENATE(C7,H7)</f>
        <v>임국</v>
      </c>
      <c r="O7" s="118" t="str">
        <f aca="true" t="shared" si="1" ref="O7:O65">IF(D7&gt;=E7,"-","ERR")</f>
        <v>-</v>
      </c>
      <c r="P7" s="119"/>
      <c r="Q7" s="118"/>
      <c r="R7" s="118"/>
      <c r="S7" s="118"/>
      <c r="T7" s="118"/>
    </row>
    <row r="8" spans="1:20" ht="27" customHeight="1">
      <c r="A8" s="190">
        <v>3</v>
      </c>
      <c r="B8" s="190" t="s">
        <v>81</v>
      </c>
      <c r="C8" s="190" t="s">
        <v>67</v>
      </c>
      <c r="D8" s="191">
        <v>440</v>
      </c>
      <c r="E8" s="191">
        <v>401</v>
      </c>
      <c r="F8" s="114"/>
      <c r="G8" s="114"/>
      <c r="H8" s="112" t="s">
        <v>310</v>
      </c>
      <c r="I8" s="112" t="s">
        <v>311</v>
      </c>
      <c r="J8" s="115"/>
      <c r="K8" s="192"/>
      <c r="L8" s="115"/>
      <c r="M8" s="128"/>
      <c r="N8" s="117" t="str">
        <f t="shared" si="0"/>
        <v>임국</v>
      </c>
      <c r="O8" s="118" t="str">
        <f t="shared" si="1"/>
        <v>-</v>
      </c>
      <c r="P8" s="119"/>
      <c r="Q8" s="118"/>
      <c r="R8" s="118"/>
      <c r="S8" s="118"/>
      <c r="T8" s="118"/>
    </row>
    <row r="9" spans="1:20" ht="27" customHeight="1">
      <c r="A9" s="190">
        <v>4</v>
      </c>
      <c r="B9" s="190" t="s">
        <v>82</v>
      </c>
      <c r="C9" s="190" t="s">
        <v>7</v>
      </c>
      <c r="D9" s="191">
        <v>2230</v>
      </c>
      <c r="E9" s="191">
        <v>6</v>
      </c>
      <c r="F9" s="114"/>
      <c r="G9" s="114"/>
      <c r="H9" s="112" t="s">
        <v>310</v>
      </c>
      <c r="I9" s="112" t="s">
        <v>311</v>
      </c>
      <c r="J9" s="115"/>
      <c r="K9" s="192"/>
      <c r="L9" s="115"/>
      <c r="M9" s="116"/>
      <c r="N9" s="117" t="str">
        <f t="shared" si="0"/>
        <v>답국</v>
      </c>
      <c r="O9" s="118" t="str">
        <f t="shared" si="1"/>
        <v>-</v>
      </c>
      <c r="P9" s="119"/>
      <c r="Q9" s="118"/>
      <c r="R9" s="118"/>
      <c r="S9" s="118"/>
      <c r="T9" s="118"/>
    </row>
    <row r="10" spans="1:20" ht="27" customHeight="1">
      <c r="A10" s="190">
        <v>5</v>
      </c>
      <c r="B10" s="190" t="s">
        <v>83</v>
      </c>
      <c r="C10" s="190" t="s">
        <v>67</v>
      </c>
      <c r="D10" s="191">
        <v>2858</v>
      </c>
      <c r="E10" s="191">
        <v>2858</v>
      </c>
      <c r="F10" s="114"/>
      <c r="G10" s="114"/>
      <c r="H10" s="112" t="s">
        <v>533</v>
      </c>
      <c r="I10" s="112" t="s">
        <v>316</v>
      </c>
      <c r="J10" s="115"/>
      <c r="K10" s="192"/>
      <c r="L10" s="115"/>
      <c r="M10" s="116"/>
      <c r="N10" s="117" t="str">
        <f t="shared" si="0"/>
        <v>임공</v>
      </c>
      <c r="O10" s="118" t="str">
        <f t="shared" si="1"/>
        <v>-</v>
      </c>
      <c r="P10" s="119"/>
      <c r="Q10" s="118"/>
      <c r="R10" s="118"/>
      <c r="S10" s="118"/>
      <c r="T10" s="118"/>
    </row>
    <row r="11" spans="1:20" ht="27" customHeight="1">
      <c r="A11" s="190">
        <v>6</v>
      </c>
      <c r="B11" s="190" t="s">
        <v>84</v>
      </c>
      <c r="C11" s="190" t="s">
        <v>67</v>
      </c>
      <c r="D11" s="191">
        <v>661</v>
      </c>
      <c r="E11" s="191">
        <v>575</v>
      </c>
      <c r="F11" s="114"/>
      <c r="G11" s="114"/>
      <c r="H11" s="112" t="s">
        <v>310</v>
      </c>
      <c r="I11" s="112" t="s">
        <v>311</v>
      </c>
      <c r="J11" s="115"/>
      <c r="K11" s="192"/>
      <c r="L11" s="115"/>
      <c r="M11" s="116"/>
      <c r="N11" s="117" t="str">
        <f t="shared" si="0"/>
        <v>임국</v>
      </c>
      <c r="O11" s="118" t="str">
        <f t="shared" si="1"/>
        <v>-</v>
      </c>
      <c r="P11" s="119"/>
      <c r="Q11" s="118"/>
      <c r="R11" s="118"/>
      <c r="S11" s="118"/>
      <c r="T11" s="118"/>
    </row>
    <row r="12" spans="1:20" ht="27" customHeight="1">
      <c r="A12" s="190">
        <v>7</v>
      </c>
      <c r="B12" s="190" t="s">
        <v>85</v>
      </c>
      <c r="C12" s="190" t="s">
        <v>67</v>
      </c>
      <c r="D12" s="191">
        <v>552</v>
      </c>
      <c r="E12" s="191">
        <v>252</v>
      </c>
      <c r="F12" s="114"/>
      <c r="G12" s="114"/>
      <c r="H12" s="112" t="s">
        <v>310</v>
      </c>
      <c r="I12" s="112" t="s">
        <v>311</v>
      </c>
      <c r="J12" s="115"/>
      <c r="K12" s="192"/>
      <c r="L12" s="115"/>
      <c r="M12" s="116"/>
      <c r="N12" s="117" t="str">
        <f t="shared" si="0"/>
        <v>임국</v>
      </c>
      <c r="O12" s="118" t="str">
        <f t="shared" si="1"/>
        <v>-</v>
      </c>
      <c r="P12" s="119"/>
      <c r="Q12" s="118"/>
      <c r="R12" s="118"/>
      <c r="S12" s="118"/>
      <c r="T12" s="118"/>
    </row>
    <row r="13" spans="1:20" ht="27" customHeight="1">
      <c r="A13" s="190">
        <v>8</v>
      </c>
      <c r="B13" s="190" t="s">
        <v>86</v>
      </c>
      <c r="C13" s="190" t="s">
        <v>67</v>
      </c>
      <c r="D13" s="191">
        <v>1653</v>
      </c>
      <c r="E13" s="191">
        <v>905</v>
      </c>
      <c r="F13" s="114"/>
      <c r="G13" s="114"/>
      <c r="H13" s="112" t="s">
        <v>310</v>
      </c>
      <c r="I13" s="112" t="s">
        <v>311</v>
      </c>
      <c r="J13" s="122"/>
      <c r="K13" s="193"/>
      <c r="L13" s="122"/>
      <c r="M13" s="116"/>
      <c r="N13" s="117" t="str">
        <f t="shared" si="0"/>
        <v>임국</v>
      </c>
      <c r="O13" s="118" t="str">
        <f t="shared" si="1"/>
        <v>-</v>
      </c>
      <c r="P13" s="119"/>
      <c r="Q13" s="118"/>
      <c r="R13" s="118"/>
      <c r="S13" s="118"/>
      <c r="T13" s="118"/>
    </row>
    <row r="14" spans="1:20" ht="27" customHeight="1">
      <c r="A14" s="190">
        <v>9</v>
      </c>
      <c r="B14" s="190" t="s">
        <v>87</v>
      </c>
      <c r="C14" s="190" t="s">
        <v>67</v>
      </c>
      <c r="D14" s="191">
        <v>198</v>
      </c>
      <c r="E14" s="191">
        <v>146</v>
      </c>
      <c r="F14" s="114"/>
      <c r="G14" s="114"/>
      <c r="H14" s="112" t="s">
        <v>310</v>
      </c>
      <c r="I14" s="112" t="s">
        <v>311</v>
      </c>
      <c r="J14" s="115"/>
      <c r="K14" s="192"/>
      <c r="L14" s="115"/>
      <c r="M14" s="116"/>
      <c r="N14" s="117" t="str">
        <f t="shared" si="0"/>
        <v>임국</v>
      </c>
      <c r="O14" s="118" t="str">
        <f t="shared" si="1"/>
        <v>-</v>
      </c>
      <c r="P14" s="119"/>
      <c r="Q14" s="118"/>
      <c r="R14" s="118"/>
      <c r="S14" s="118"/>
      <c r="T14" s="118"/>
    </row>
    <row r="15" spans="1:20" ht="27" customHeight="1">
      <c r="A15" s="190">
        <v>10</v>
      </c>
      <c r="B15" s="190" t="s">
        <v>88</v>
      </c>
      <c r="C15" s="190" t="s">
        <v>67</v>
      </c>
      <c r="D15" s="191">
        <v>8709</v>
      </c>
      <c r="E15" s="191">
        <v>3509</v>
      </c>
      <c r="F15" s="114"/>
      <c r="G15" s="114"/>
      <c r="H15" s="112" t="s">
        <v>310</v>
      </c>
      <c r="I15" s="112" t="s">
        <v>311</v>
      </c>
      <c r="J15" s="120"/>
      <c r="K15" s="192"/>
      <c r="L15" s="115"/>
      <c r="M15" s="116"/>
      <c r="N15" s="117" t="str">
        <f t="shared" si="0"/>
        <v>임국</v>
      </c>
      <c r="O15" s="118" t="str">
        <f t="shared" si="1"/>
        <v>-</v>
      </c>
      <c r="P15" s="119"/>
      <c r="Q15" s="118"/>
      <c r="R15" s="118"/>
      <c r="S15" s="118"/>
      <c r="T15" s="118"/>
    </row>
    <row r="16" spans="1:20" ht="27" customHeight="1">
      <c r="A16" s="190">
        <v>11</v>
      </c>
      <c r="B16" s="190" t="s">
        <v>89</v>
      </c>
      <c r="C16" s="190" t="s">
        <v>67</v>
      </c>
      <c r="D16" s="191">
        <v>2315</v>
      </c>
      <c r="E16" s="191">
        <v>2315</v>
      </c>
      <c r="F16" s="114"/>
      <c r="G16" s="114"/>
      <c r="H16" s="112" t="s">
        <v>317</v>
      </c>
      <c r="I16" s="127" t="s">
        <v>318</v>
      </c>
      <c r="J16" s="122"/>
      <c r="K16" s="193"/>
      <c r="L16" s="122"/>
      <c r="M16" s="116"/>
      <c r="N16" s="117" t="str">
        <f t="shared" si="0"/>
        <v>임한은주 외 1인</v>
      </c>
      <c r="O16" s="118" t="str">
        <f t="shared" si="1"/>
        <v>-</v>
      </c>
      <c r="P16" s="119"/>
      <c r="Q16" s="118"/>
      <c r="R16" s="118"/>
      <c r="S16" s="118"/>
      <c r="T16" s="118"/>
    </row>
    <row r="17" spans="1:20" ht="27" customHeight="1">
      <c r="A17" s="190">
        <v>12</v>
      </c>
      <c r="B17" s="190" t="s">
        <v>90</v>
      </c>
      <c r="C17" s="190" t="s">
        <v>6</v>
      </c>
      <c r="D17" s="191">
        <v>845</v>
      </c>
      <c r="E17" s="191">
        <v>180</v>
      </c>
      <c r="F17" s="114"/>
      <c r="G17" s="114"/>
      <c r="H17" s="112" t="s">
        <v>310</v>
      </c>
      <c r="I17" s="112" t="s">
        <v>311</v>
      </c>
      <c r="J17" s="115"/>
      <c r="K17" s="192"/>
      <c r="L17" s="115"/>
      <c r="M17" s="116"/>
      <c r="N17" s="117" t="str">
        <f t="shared" si="0"/>
        <v>전국</v>
      </c>
      <c r="O17" s="118" t="str">
        <f t="shared" si="1"/>
        <v>-</v>
      </c>
      <c r="P17" s="119"/>
      <c r="Q17" s="118"/>
      <c r="R17" s="118"/>
      <c r="S17" s="118"/>
      <c r="T17" s="118"/>
    </row>
    <row r="18" spans="1:20" ht="27" customHeight="1">
      <c r="A18" s="190">
        <v>13</v>
      </c>
      <c r="B18" s="190" t="s">
        <v>91</v>
      </c>
      <c r="C18" s="190" t="s">
        <v>92</v>
      </c>
      <c r="D18" s="191">
        <v>2137</v>
      </c>
      <c r="E18" s="191">
        <v>15</v>
      </c>
      <c r="F18" s="114"/>
      <c r="G18" s="114"/>
      <c r="H18" s="112" t="s">
        <v>320</v>
      </c>
      <c r="I18" s="112" t="s">
        <v>321</v>
      </c>
      <c r="J18" s="115"/>
      <c r="K18" s="115"/>
      <c r="L18" s="115"/>
      <c r="M18" s="120"/>
      <c r="N18" s="117" t="str">
        <f t="shared" si="0"/>
        <v>도고흥록 외 2인</v>
      </c>
      <c r="O18" s="118" t="str">
        <f t="shared" si="1"/>
        <v>-</v>
      </c>
      <c r="P18" s="119"/>
      <c r="Q18" s="118"/>
      <c r="R18" s="118"/>
      <c r="S18" s="118"/>
      <c r="T18" s="124"/>
    </row>
    <row r="19" spans="1:20" ht="27" customHeight="1">
      <c r="A19" s="190">
        <v>14</v>
      </c>
      <c r="B19" s="190" t="s">
        <v>93</v>
      </c>
      <c r="C19" s="190" t="s">
        <v>6</v>
      </c>
      <c r="D19" s="191">
        <v>284</v>
      </c>
      <c r="E19" s="191">
        <v>284</v>
      </c>
      <c r="F19" s="114"/>
      <c r="G19" s="114"/>
      <c r="H19" s="112" t="s">
        <v>533</v>
      </c>
      <c r="I19" s="112" t="s">
        <v>316</v>
      </c>
      <c r="J19" s="115"/>
      <c r="K19" s="192"/>
      <c r="L19" s="115"/>
      <c r="M19" s="116"/>
      <c r="N19" s="117" t="str">
        <f t="shared" si="0"/>
        <v>전공</v>
      </c>
      <c r="O19" s="118" t="str">
        <f t="shared" si="1"/>
        <v>-</v>
      </c>
      <c r="P19" s="119"/>
      <c r="Q19" s="118"/>
      <c r="R19" s="118"/>
      <c r="S19" s="118"/>
      <c r="T19" s="124"/>
    </row>
    <row r="20" spans="1:20" ht="27" customHeight="1">
      <c r="A20" s="190">
        <v>15</v>
      </c>
      <c r="B20" s="190" t="s">
        <v>94</v>
      </c>
      <c r="C20" s="190" t="s">
        <v>92</v>
      </c>
      <c r="D20" s="191">
        <v>192</v>
      </c>
      <c r="E20" s="191">
        <v>5</v>
      </c>
      <c r="F20" s="114"/>
      <c r="G20" s="114"/>
      <c r="H20" s="112" t="s">
        <v>310</v>
      </c>
      <c r="I20" s="112" t="s">
        <v>315</v>
      </c>
      <c r="J20" s="115"/>
      <c r="K20" s="115"/>
      <c r="L20" s="115"/>
      <c r="M20" s="116"/>
      <c r="N20" s="117" t="str">
        <f t="shared" si="0"/>
        <v>도국</v>
      </c>
      <c r="O20" s="118" t="str">
        <f t="shared" si="1"/>
        <v>-</v>
      </c>
      <c r="P20" s="119"/>
      <c r="Q20" s="118"/>
      <c r="R20" s="118"/>
      <c r="S20" s="118"/>
      <c r="T20" s="124"/>
    </row>
    <row r="21" spans="1:20" ht="27" customHeight="1">
      <c r="A21" s="190">
        <v>16</v>
      </c>
      <c r="B21" s="190" t="s">
        <v>95</v>
      </c>
      <c r="C21" s="190" t="s">
        <v>92</v>
      </c>
      <c r="D21" s="191">
        <v>132</v>
      </c>
      <c r="E21" s="191">
        <v>26</v>
      </c>
      <c r="F21" s="114"/>
      <c r="G21" s="114"/>
      <c r="H21" s="112" t="s">
        <v>533</v>
      </c>
      <c r="I21" s="112" t="s">
        <v>312</v>
      </c>
      <c r="J21" s="115"/>
      <c r="K21" s="192"/>
      <c r="L21" s="115"/>
      <c r="M21" s="116"/>
      <c r="N21" s="117" t="str">
        <f t="shared" si="0"/>
        <v>도공</v>
      </c>
      <c r="O21" s="118" t="str">
        <f t="shared" si="1"/>
        <v>-</v>
      </c>
      <c r="P21" s="119"/>
      <c r="Q21" s="118"/>
      <c r="R21" s="118"/>
      <c r="S21" s="118"/>
      <c r="T21" s="124"/>
    </row>
    <row r="22" spans="1:23" ht="27" customHeight="1">
      <c r="A22" s="190">
        <v>17</v>
      </c>
      <c r="B22" s="190" t="s">
        <v>96</v>
      </c>
      <c r="C22" s="190" t="s">
        <v>6</v>
      </c>
      <c r="D22" s="191">
        <v>559</v>
      </c>
      <c r="E22" s="191">
        <v>33</v>
      </c>
      <c r="F22" s="114"/>
      <c r="G22" s="114"/>
      <c r="H22" s="112" t="s">
        <v>313</v>
      </c>
      <c r="I22" s="112" t="s">
        <v>314</v>
      </c>
      <c r="J22" s="115"/>
      <c r="K22" s="192"/>
      <c r="L22" s="115"/>
      <c r="M22" s="116"/>
      <c r="N22" s="117" t="str">
        <f t="shared" si="0"/>
        <v>전이상천</v>
      </c>
      <c r="O22" s="118" t="str">
        <f t="shared" si="1"/>
        <v>-</v>
      </c>
      <c r="P22" s="119"/>
      <c r="Q22" s="118"/>
      <c r="R22" s="118"/>
      <c r="S22" s="118"/>
      <c r="T22" s="125"/>
      <c r="U22" s="118"/>
      <c r="V22" s="118"/>
      <c r="W22" s="118"/>
    </row>
    <row r="23" spans="1:20" ht="27" customHeight="1">
      <c r="A23" s="88"/>
      <c r="B23" s="111"/>
      <c r="C23" s="112"/>
      <c r="D23" s="112"/>
      <c r="E23" s="113"/>
      <c r="F23" s="114"/>
      <c r="G23" s="114"/>
      <c r="H23" s="112"/>
      <c r="I23" s="112"/>
      <c r="J23" s="115"/>
      <c r="K23" s="115"/>
      <c r="L23" s="115"/>
      <c r="M23" s="116"/>
      <c r="N23" s="117">
        <f t="shared" si="0"/>
      </c>
      <c r="O23" s="118" t="str">
        <f t="shared" si="1"/>
        <v>-</v>
      </c>
      <c r="P23" s="119"/>
      <c r="Q23" s="118"/>
      <c r="R23" s="118"/>
      <c r="S23" s="118"/>
      <c r="T23" s="118"/>
    </row>
    <row r="24" spans="1:20" ht="27" customHeight="1">
      <c r="A24" s="88"/>
      <c r="B24" s="111"/>
      <c r="C24" s="112"/>
      <c r="D24" s="112"/>
      <c r="E24" s="113"/>
      <c r="F24" s="114"/>
      <c r="G24" s="114"/>
      <c r="H24" s="112"/>
      <c r="I24" s="112"/>
      <c r="J24" s="115"/>
      <c r="K24" s="115"/>
      <c r="L24" s="115"/>
      <c r="M24" s="116"/>
      <c r="N24" s="117">
        <f t="shared" si="0"/>
      </c>
      <c r="O24" s="118" t="str">
        <f t="shared" si="1"/>
        <v>-</v>
      </c>
      <c r="P24" s="119"/>
      <c r="Q24" s="118"/>
      <c r="R24" s="118"/>
      <c r="S24" s="118"/>
      <c r="T24" s="118"/>
    </row>
    <row r="25" spans="1:20" ht="27" customHeight="1">
      <c r="A25" s="88"/>
      <c r="B25" s="111"/>
      <c r="C25" s="112"/>
      <c r="D25" s="112"/>
      <c r="E25" s="113"/>
      <c r="F25" s="114"/>
      <c r="G25" s="114"/>
      <c r="H25" s="112"/>
      <c r="I25" s="112"/>
      <c r="J25" s="115"/>
      <c r="K25" s="115"/>
      <c r="L25" s="115"/>
      <c r="M25" s="116"/>
      <c r="N25" s="117">
        <f t="shared" si="0"/>
      </c>
      <c r="O25" s="118" t="str">
        <f t="shared" si="1"/>
        <v>-</v>
      </c>
      <c r="P25" s="100"/>
      <c r="Q25" s="118"/>
      <c r="R25" s="118"/>
      <c r="S25" s="118"/>
      <c r="T25" s="118"/>
    </row>
    <row r="26" spans="1:20" ht="27" customHeight="1">
      <c r="A26" s="216" t="s">
        <v>61</v>
      </c>
      <c r="B26" s="216"/>
      <c r="C26" s="216"/>
      <c r="D26" s="112"/>
      <c r="E26" s="113">
        <f>SUM(E6:E25)</f>
        <v>11639</v>
      </c>
      <c r="F26" s="114"/>
      <c r="G26" s="114"/>
      <c r="H26" s="112"/>
      <c r="I26" s="112"/>
      <c r="J26" s="115"/>
      <c r="K26" s="115"/>
      <c r="L26" s="115"/>
      <c r="M26" s="116"/>
      <c r="N26" s="117"/>
      <c r="O26" s="118"/>
      <c r="P26" s="119"/>
      <c r="Q26" s="118"/>
      <c r="R26" s="118"/>
      <c r="S26" s="118"/>
      <c r="T26" s="118"/>
    </row>
    <row r="27" spans="1:20" ht="27" customHeight="1">
      <c r="A27" s="88"/>
      <c r="B27" s="121"/>
      <c r="C27" s="112"/>
      <c r="D27" s="112"/>
      <c r="E27" s="113"/>
      <c r="F27" s="114"/>
      <c r="G27" s="114"/>
      <c r="H27" s="112"/>
      <c r="I27" s="112"/>
      <c r="J27" s="122"/>
      <c r="K27" s="122"/>
      <c r="L27" s="122"/>
      <c r="M27" s="116"/>
      <c r="N27" s="117">
        <f t="shared" si="0"/>
      </c>
      <c r="O27" s="118" t="str">
        <f t="shared" si="1"/>
        <v>-</v>
      </c>
      <c r="P27" s="100"/>
      <c r="Q27" s="118"/>
      <c r="R27" s="118"/>
      <c r="S27" s="118"/>
      <c r="T27" s="118"/>
    </row>
    <row r="28" spans="1:20" ht="27" customHeight="1">
      <c r="A28" s="88"/>
      <c r="B28" s="111"/>
      <c r="C28" s="112"/>
      <c r="D28" s="112"/>
      <c r="E28" s="113"/>
      <c r="F28" s="114"/>
      <c r="G28" s="114"/>
      <c r="H28" s="112"/>
      <c r="I28" s="112"/>
      <c r="J28" s="122"/>
      <c r="K28" s="122"/>
      <c r="L28" s="122"/>
      <c r="M28" s="116"/>
      <c r="N28" s="117">
        <f t="shared" si="0"/>
      </c>
      <c r="O28" s="118" t="str">
        <f t="shared" si="1"/>
        <v>-</v>
      </c>
      <c r="P28" s="100"/>
      <c r="Q28" s="118"/>
      <c r="R28" s="118"/>
      <c r="S28" s="118"/>
      <c r="T28" s="118"/>
    </row>
    <row r="29" spans="1:20" ht="27" customHeight="1">
      <c r="A29" s="88"/>
      <c r="B29" s="88"/>
      <c r="C29" s="112"/>
      <c r="D29" s="112"/>
      <c r="E29" s="113"/>
      <c r="F29" s="114"/>
      <c r="G29" s="114"/>
      <c r="H29" s="112"/>
      <c r="I29" s="112"/>
      <c r="J29" s="122"/>
      <c r="K29" s="122"/>
      <c r="L29" s="122"/>
      <c r="M29" s="116"/>
      <c r="N29" s="117">
        <f t="shared" si="0"/>
      </c>
      <c r="O29" s="118" t="str">
        <f t="shared" si="1"/>
        <v>-</v>
      </c>
      <c r="P29" s="100"/>
      <c r="Q29" s="118"/>
      <c r="R29" s="118"/>
      <c r="S29" s="118"/>
      <c r="T29" s="118"/>
    </row>
    <row r="30" spans="1:20" ht="27" customHeight="1">
      <c r="A30" s="88"/>
      <c r="B30" s="111"/>
      <c r="C30" s="112"/>
      <c r="D30" s="112"/>
      <c r="E30" s="113"/>
      <c r="F30" s="114"/>
      <c r="G30" s="114"/>
      <c r="H30" s="112"/>
      <c r="I30" s="123"/>
      <c r="J30" s="115"/>
      <c r="K30" s="115"/>
      <c r="L30" s="115"/>
      <c r="M30" s="116"/>
      <c r="N30" s="117">
        <f t="shared" si="0"/>
      </c>
      <c r="O30" s="118" t="str">
        <f t="shared" si="1"/>
        <v>-</v>
      </c>
      <c r="P30" s="100"/>
      <c r="Q30" s="118"/>
      <c r="R30" s="118"/>
      <c r="S30" s="118"/>
      <c r="T30" s="118"/>
    </row>
    <row r="31" spans="1:20" ht="27" customHeight="1">
      <c r="A31" s="88"/>
      <c r="B31" s="111"/>
      <c r="C31" s="112"/>
      <c r="D31" s="112"/>
      <c r="E31" s="113"/>
      <c r="F31" s="114"/>
      <c r="G31" s="114"/>
      <c r="H31" s="112"/>
      <c r="I31" s="112"/>
      <c r="J31" s="115"/>
      <c r="K31" s="115"/>
      <c r="L31" s="115"/>
      <c r="M31" s="120"/>
      <c r="N31" s="117">
        <f t="shared" si="0"/>
      </c>
      <c r="O31" s="118" t="str">
        <f t="shared" si="1"/>
        <v>-</v>
      </c>
      <c r="P31" s="100"/>
      <c r="Q31" s="118"/>
      <c r="R31" s="118"/>
      <c r="S31" s="118"/>
      <c r="T31" s="118"/>
    </row>
    <row r="32" spans="1:20" ht="27" customHeight="1">
      <c r="A32" s="88"/>
      <c r="B32" s="111"/>
      <c r="C32" s="112"/>
      <c r="D32" s="112"/>
      <c r="E32" s="113"/>
      <c r="F32" s="114"/>
      <c r="G32" s="114"/>
      <c r="H32" s="112"/>
      <c r="I32" s="112"/>
      <c r="J32" s="115"/>
      <c r="K32" s="115"/>
      <c r="L32" s="115"/>
      <c r="M32" s="120"/>
      <c r="N32" s="117">
        <f t="shared" si="0"/>
      </c>
      <c r="O32" s="118" t="str">
        <f t="shared" si="1"/>
        <v>-</v>
      </c>
      <c r="P32" s="100"/>
      <c r="Q32" s="118"/>
      <c r="R32" s="118"/>
      <c r="S32" s="118"/>
      <c r="T32" s="118"/>
    </row>
    <row r="33" spans="1:20" ht="27" customHeight="1">
      <c r="A33" s="88"/>
      <c r="B33" s="111"/>
      <c r="C33" s="112"/>
      <c r="D33" s="112"/>
      <c r="E33" s="113"/>
      <c r="F33" s="114"/>
      <c r="G33" s="114"/>
      <c r="H33" s="112"/>
      <c r="I33" s="112"/>
      <c r="J33" s="115"/>
      <c r="K33" s="115"/>
      <c r="L33" s="115"/>
      <c r="M33" s="116"/>
      <c r="N33" s="117">
        <f t="shared" si="0"/>
      </c>
      <c r="O33" s="118" t="str">
        <f t="shared" si="1"/>
        <v>-</v>
      </c>
      <c r="P33" s="100"/>
      <c r="Q33" s="118"/>
      <c r="R33" s="118"/>
      <c r="S33" s="118"/>
      <c r="T33" s="118"/>
    </row>
    <row r="34" spans="1:20" ht="27" customHeight="1">
      <c r="A34" s="88"/>
      <c r="B34" s="111"/>
      <c r="C34" s="112"/>
      <c r="D34" s="112"/>
      <c r="E34" s="113"/>
      <c r="F34" s="114"/>
      <c r="G34" s="114"/>
      <c r="H34" s="112"/>
      <c r="I34" s="112"/>
      <c r="J34" s="115"/>
      <c r="K34" s="115"/>
      <c r="L34" s="115"/>
      <c r="M34" s="116"/>
      <c r="N34" s="117">
        <f t="shared" si="0"/>
      </c>
      <c r="O34" s="118" t="str">
        <f t="shared" si="1"/>
        <v>-</v>
      </c>
      <c r="P34" s="100"/>
      <c r="Q34" s="118"/>
      <c r="R34" s="118"/>
      <c r="S34" s="118"/>
      <c r="T34" s="118"/>
    </row>
    <row r="35" spans="1:20" ht="27" customHeight="1">
      <c r="A35" s="88"/>
      <c r="B35" s="111"/>
      <c r="C35" s="112"/>
      <c r="D35" s="112"/>
      <c r="E35" s="113"/>
      <c r="F35" s="114"/>
      <c r="G35" s="114"/>
      <c r="H35" s="112"/>
      <c r="I35" s="112"/>
      <c r="J35" s="126"/>
      <c r="K35" s="115"/>
      <c r="L35" s="115"/>
      <c r="M35" s="120"/>
      <c r="N35" s="117">
        <f t="shared" si="0"/>
      </c>
      <c r="O35" s="118" t="str">
        <f t="shared" si="1"/>
        <v>-</v>
      </c>
      <c r="P35" s="100"/>
      <c r="Q35" s="118"/>
      <c r="R35" s="118"/>
      <c r="S35" s="118"/>
      <c r="T35" s="118"/>
    </row>
    <row r="36" spans="1:20" ht="27" customHeight="1">
      <c r="A36" s="88"/>
      <c r="B36" s="111"/>
      <c r="C36" s="112"/>
      <c r="D36" s="112"/>
      <c r="E36" s="113"/>
      <c r="F36" s="114"/>
      <c r="G36" s="114"/>
      <c r="H36" s="112"/>
      <c r="I36" s="112"/>
      <c r="J36" s="134"/>
      <c r="K36" s="122"/>
      <c r="L36" s="122"/>
      <c r="M36" s="116"/>
      <c r="N36" s="117">
        <f t="shared" si="0"/>
      </c>
      <c r="O36" s="118" t="str">
        <f t="shared" si="1"/>
        <v>-</v>
      </c>
      <c r="P36" s="100"/>
      <c r="Q36" s="118"/>
      <c r="R36" s="118"/>
      <c r="S36" s="118"/>
      <c r="T36" s="118"/>
    </row>
    <row r="37" spans="1:20" ht="27" customHeight="1">
      <c r="A37" s="88"/>
      <c r="B37" s="111"/>
      <c r="C37" s="112"/>
      <c r="D37" s="112"/>
      <c r="E37" s="113"/>
      <c r="F37" s="114"/>
      <c r="G37" s="114"/>
      <c r="H37" s="112"/>
      <c r="I37" s="112"/>
      <c r="J37" s="122"/>
      <c r="K37" s="122"/>
      <c r="L37" s="122"/>
      <c r="M37" s="116"/>
      <c r="N37" s="117">
        <f t="shared" si="0"/>
      </c>
      <c r="O37" s="118" t="str">
        <f t="shared" si="1"/>
        <v>-</v>
      </c>
      <c r="P37" s="100"/>
      <c r="Q37" s="118"/>
      <c r="R37" s="118"/>
      <c r="S37" s="118"/>
      <c r="T37" s="118"/>
    </row>
    <row r="38" spans="1:20" ht="27" customHeight="1">
      <c r="A38" s="88"/>
      <c r="B38" s="111"/>
      <c r="C38" s="112"/>
      <c r="D38" s="112"/>
      <c r="E38" s="113"/>
      <c r="F38" s="114"/>
      <c r="G38" s="114"/>
      <c r="H38" s="112"/>
      <c r="I38" s="112"/>
      <c r="J38" s="115"/>
      <c r="K38" s="115"/>
      <c r="L38" s="115"/>
      <c r="M38" s="120"/>
      <c r="N38" s="117">
        <f t="shared" si="0"/>
      </c>
      <c r="O38" s="118" t="str">
        <f t="shared" si="1"/>
        <v>-</v>
      </c>
      <c r="P38" s="100"/>
      <c r="Q38" s="118"/>
      <c r="R38" s="118"/>
      <c r="S38" s="118"/>
      <c r="T38" s="118"/>
    </row>
    <row r="39" spans="1:20" ht="27" customHeight="1">
      <c r="A39" s="88"/>
      <c r="B39" s="111"/>
      <c r="C39" s="112"/>
      <c r="D39" s="112"/>
      <c r="E39" s="113"/>
      <c r="F39" s="114"/>
      <c r="G39" s="114"/>
      <c r="H39" s="112"/>
      <c r="I39" s="112"/>
      <c r="J39" s="115"/>
      <c r="K39" s="115"/>
      <c r="L39" s="115"/>
      <c r="M39" s="116"/>
      <c r="N39" s="117">
        <f t="shared" si="0"/>
      </c>
      <c r="O39" s="118" t="str">
        <f t="shared" si="1"/>
        <v>-</v>
      </c>
      <c r="P39" s="100"/>
      <c r="Q39" s="118"/>
      <c r="R39" s="118"/>
      <c r="S39" s="118"/>
      <c r="T39" s="124"/>
    </row>
    <row r="40" spans="1:20" ht="27" customHeight="1">
      <c r="A40" s="88"/>
      <c r="B40" s="111"/>
      <c r="C40" s="112"/>
      <c r="D40" s="112"/>
      <c r="E40" s="113"/>
      <c r="F40" s="114"/>
      <c r="G40" s="114"/>
      <c r="H40" s="112"/>
      <c r="I40" s="112"/>
      <c r="J40" s="115"/>
      <c r="K40" s="115"/>
      <c r="L40" s="115"/>
      <c r="M40" s="116"/>
      <c r="N40" s="117">
        <f t="shared" si="0"/>
      </c>
      <c r="O40" s="118" t="str">
        <f t="shared" si="1"/>
        <v>-</v>
      </c>
      <c r="P40" s="100"/>
      <c r="Q40" s="118"/>
      <c r="R40" s="118"/>
      <c r="S40" s="118"/>
      <c r="T40" s="124"/>
    </row>
    <row r="41" spans="1:20" ht="27" customHeight="1">
      <c r="A41" s="88"/>
      <c r="B41" s="111"/>
      <c r="C41" s="112"/>
      <c r="D41" s="112"/>
      <c r="E41" s="113"/>
      <c r="F41" s="114"/>
      <c r="G41" s="114"/>
      <c r="H41" s="112"/>
      <c r="I41" s="112"/>
      <c r="J41" s="115"/>
      <c r="K41" s="115"/>
      <c r="L41" s="115"/>
      <c r="M41" s="116"/>
      <c r="N41" s="117">
        <f t="shared" si="0"/>
      </c>
      <c r="O41" s="118" t="str">
        <f t="shared" si="1"/>
        <v>-</v>
      </c>
      <c r="P41" s="100"/>
      <c r="Q41" s="118"/>
      <c r="R41" s="118"/>
      <c r="S41" s="118"/>
      <c r="T41" s="124"/>
    </row>
    <row r="42" spans="1:20" ht="27" customHeight="1">
      <c r="A42" s="88"/>
      <c r="B42" s="111"/>
      <c r="C42" s="112"/>
      <c r="D42" s="112"/>
      <c r="E42" s="113"/>
      <c r="F42" s="114"/>
      <c r="G42" s="114"/>
      <c r="H42" s="112"/>
      <c r="I42" s="112"/>
      <c r="J42" s="115"/>
      <c r="K42" s="115"/>
      <c r="L42" s="115"/>
      <c r="M42" s="116"/>
      <c r="N42" s="117">
        <f t="shared" si="0"/>
      </c>
      <c r="O42" s="118" t="str">
        <f t="shared" si="1"/>
        <v>-</v>
      </c>
      <c r="P42" s="100"/>
      <c r="Q42" s="118"/>
      <c r="R42" s="118"/>
      <c r="S42" s="118"/>
      <c r="T42" s="124"/>
    </row>
    <row r="43" spans="1:23" ht="27" customHeight="1">
      <c r="A43" s="88"/>
      <c r="B43" s="111"/>
      <c r="C43" s="112"/>
      <c r="D43" s="112"/>
      <c r="E43" s="113"/>
      <c r="F43" s="114"/>
      <c r="G43" s="114"/>
      <c r="H43" s="112"/>
      <c r="I43" s="112"/>
      <c r="J43" s="115"/>
      <c r="K43" s="115"/>
      <c r="L43" s="115"/>
      <c r="M43" s="116"/>
      <c r="N43" s="117">
        <f t="shared" si="0"/>
      </c>
      <c r="O43" s="118" t="str">
        <f t="shared" si="1"/>
        <v>-</v>
      </c>
      <c r="P43" s="100"/>
      <c r="Q43" s="118"/>
      <c r="R43" s="118"/>
      <c r="S43" s="118"/>
      <c r="T43" s="125"/>
      <c r="U43" s="118"/>
      <c r="V43" s="118"/>
      <c r="W43" s="118"/>
    </row>
    <row r="44" spans="1:20" ht="27" customHeight="1">
      <c r="A44" s="88"/>
      <c r="B44" s="111"/>
      <c r="C44" s="112"/>
      <c r="D44" s="112"/>
      <c r="E44" s="113"/>
      <c r="F44" s="114"/>
      <c r="G44" s="114"/>
      <c r="H44" s="112"/>
      <c r="I44" s="112"/>
      <c r="J44" s="115"/>
      <c r="K44" s="115"/>
      <c r="L44" s="115"/>
      <c r="M44" s="120"/>
      <c r="N44" s="117">
        <f t="shared" si="0"/>
      </c>
      <c r="O44" s="118" t="str">
        <f t="shared" si="1"/>
        <v>-</v>
      </c>
      <c r="P44" s="100"/>
      <c r="Q44" s="118"/>
      <c r="R44" s="118"/>
      <c r="S44" s="118"/>
      <c r="T44" s="118"/>
    </row>
    <row r="45" spans="1:20" ht="27" customHeight="1">
      <c r="A45" s="88"/>
      <c r="B45" s="121"/>
      <c r="C45" s="112"/>
      <c r="D45" s="112"/>
      <c r="E45" s="113"/>
      <c r="F45" s="114"/>
      <c r="G45" s="114"/>
      <c r="H45" s="112"/>
      <c r="I45" s="127"/>
      <c r="J45" s="115"/>
      <c r="K45" s="115"/>
      <c r="L45" s="115"/>
      <c r="M45" s="120"/>
      <c r="N45" s="117">
        <f t="shared" si="0"/>
      </c>
      <c r="O45" s="118" t="str">
        <f t="shared" si="1"/>
        <v>-</v>
      </c>
      <c r="P45" s="100"/>
      <c r="Q45" s="118"/>
      <c r="R45" s="118"/>
      <c r="S45" s="118"/>
      <c r="T45" s="118"/>
    </row>
    <row r="46" spans="1:20" ht="27" customHeight="1" thickBot="1">
      <c r="A46" s="88"/>
      <c r="B46" s="121"/>
      <c r="C46" s="112"/>
      <c r="D46" s="112"/>
      <c r="E46" s="113"/>
      <c r="F46" s="114"/>
      <c r="G46" s="114"/>
      <c r="H46" s="112"/>
      <c r="I46" s="112"/>
      <c r="J46" s="115"/>
      <c r="K46" s="115"/>
      <c r="L46" s="115"/>
      <c r="M46" s="116"/>
      <c r="N46" s="117">
        <f t="shared" si="0"/>
      </c>
      <c r="O46" s="118" t="str">
        <f t="shared" si="1"/>
        <v>-</v>
      </c>
      <c r="P46" s="100"/>
      <c r="Q46" s="118"/>
      <c r="R46" s="118"/>
      <c r="S46" s="118"/>
      <c r="T46" s="118"/>
    </row>
    <row r="47" spans="1:20" ht="27" customHeight="1" thickTop="1">
      <c r="A47" s="209" t="s">
        <v>61</v>
      </c>
      <c r="B47" s="210"/>
      <c r="C47" s="211"/>
      <c r="D47" s="138"/>
      <c r="E47" s="139">
        <f>SUM(E27:E46)</f>
        <v>0</v>
      </c>
      <c r="F47" s="140"/>
      <c r="G47" s="140"/>
      <c r="H47" s="138"/>
      <c r="I47" s="138"/>
      <c r="J47" s="141"/>
      <c r="K47" s="141"/>
      <c r="L47" s="141"/>
      <c r="M47" s="142"/>
      <c r="N47" s="117"/>
      <c r="O47" s="118"/>
      <c r="P47" s="119"/>
      <c r="Q47" s="118"/>
      <c r="R47" s="118"/>
      <c r="S47" s="118"/>
      <c r="T47" s="118"/>
    </row>
    <row r="48" spans="1:20" ht="27" customHeight="1">
      <c r="A48" s="88"/>
      <c r="B48" s="111"/>
      <c r="C48" s="112"/>
      <c r="D48" s="112"/>
      <c r="E48" s="113"/>
      <c r="F48" s="114"/>
      <c r="G48" s="114"/>
      <c r="H48" s="112"/>
      <c r="I48" s="112"/>
      <c r="J48" s="115"/>
      <c r="K48" s="115"/>
      <c r="L48" s="115"/>
      <c r="M48" s="120"/>
      <c r="N48" s="117">
        <f t="shared" si="0"/>
      </c>
      <c r="O48" s="118" t="str">
        <f t="shared" si="1"/>
        <v>-</v>
      </c>
      <c r="P48" s="100"/>
      <c r="Q48" s="118"/>
      <c r="R48" s="118"/>
      <c r="S48" s="118"/>
      <c r="T48" s="118"/>
    </row>
    <row r="49" spans="1:20" ht="27" customHeight="1">
      <c r="A49" s="88"/>
      <c r="B49" s="121"/>
      <c r="C49" s="112"/>
      <c r="D49" s="112"/>
      <c r="E49" s="113"/>
      <c r="F49" s="114"/>
      <c r="G49" s="114"/>
      <c r="H49" s="112"/>
      <c r="I49" s="112"/>
      <c r="J49" s="115"/>
      <c r="K49" s="115"/>
      <c r="L49" s="115"/>
      <c r="M49" s="116"/>
      <c r="N49" s="117">
        <f t="shared" si="0"/>
      </c>
      <c r="O49" s="118" t="str">
        <f t="shared" si="1"/>
        <v>-</v>
      </c>
      <c r="P49" s="100"/>
      <c r="Q49" s="118"/>
      <c r="R49" s="118"/>
      <c r="S49" s="118"/>
      <c r="T49" s="118"/>
    </row>
    <row r="50" spans="1:20" ht="27" customHeight="1">
      <c r="A50" s="88"/>
      <c r="B50" s="121"/>
      <c r="C50" s="112"/>
      <c r="D50" s="112"/>
      <c r="E50" s="113"/>
      <c r="F50" s="114"/>
      <c r="G50" s="114"/>
      <c r="H50" s="112"/>
      <c r="I50" s="112"/>
      <c r="J50" s="115"/>
      <c r="K50" s="115"/>
      <c r="L50" s="115"/>
      <c r="M50" s="116"/>
      <c r="N50" s="117">
        <f t="shared" si="0"/>
      </c>
      <c r="O50" s="118" t="str">
        <f t="shared" si="1"/>
        <v>-</v>
      </c>
      <c r="P50" s="100"/>
      <c r="Q50" s="118"/>
      <c r="R50" s="118"/>
      <c r="S50" s="118"/>
      <c r="T50" s="118"/>
    </row>
    <row r="51" spans="1:20" ht="27" customHeight="1">
      <c r="A51" s="88"/>
      <c r="B51" s="111"/>
      <c r="C51" s="112"/>
      <c r="D51" s="112"/>
      <c r="E51" s="113"/>
      <c r="F51" s="114"/>
      <c r="G51" s="114"/>
      <c r="H51" s="112"/>
      <c r="I51" s="112"/>
      <c r="J51" s="115"/>
      <c r="K51" s="115"/>
      <c r="L51" s="115"/>
      <c r="M51" s="116"/>
      <c r="N51" s="117">
        <f t="shared" si="0"/>
      </c>
      <c r="O51" s="118" t="str">
        <f t="shared" si="1"/>
        <v>-</v>
      </c>
      <c r="P51" s="100"/>
      <c r="Q51" s="118"/>
      <c r="R51" s="118"/>
      <c r="S51" s="118"/>
      <c r="T51" s="118"/>
    </row>
    <row r="52" spans="1:20" ht="27" customHeight="1">
      <c r="A52" s="88"/>
      <c r="B52" s="121"/>
      <c r="C52" s="112"/>
      <c r="D52" s="112"/>
      <c r="E52" s="113"/>
      <c r="F52" s="114"/>
      <c r="G52" s="114"/>
      <c r="H52" s="112"/>
      <c r="I52" s="112"/>
      <c r="J52" s="115"/>
      <c r="K52" s="115"/>
      <c r="L52" s="115"/>
      <c r="M52" s="116"/>
      <c r="N52" s="117">
        <f t="shared" si="0"/>
      </c>
      <c r="O52" s="118" t="str">
        <f t="shared" si="1"/>
        <v>-</v>
      </c>
      <c r="P52" s="100"/>
      <c r="Q52" s="118"/>
      <c r="R52" s="118"/>
      <c r="S52" s="118"/>
      <c r="T52" s="118"/>
    </row>
    <row r="53" spans="1:20" ht="27" customHeight="1">
      <c r="A53" s="88"/>
      <c r="B53" s="121"/>
      <c r="C53" s="112"/>
      <c r="D53" s="112"/>
      <c r="E53" s="113"/>
      <c r="F53" s="114"/>
      <c r="G53" s="114"/>
      <c r="H53" s="112"/>
      <c r="I53" s="112"/>
      <c r="J53" s="115"/>
      <c r="K53" s="115"/>
      <c r="L53" s="115"/>
      <c r="M53" s="116"/>
      <c r="N53" s="117">
        <f t="shared" si="0"/>
      </c>
      <c r="O53" s="118" t="str">
        <f t="shared" si="1"/>
        <v>-</v>
      </c>
      <c r="P53" s="100"/>
      <c r="Q53" s="118"/>
      <c r="R53" s="118"/>
      <c r="S53" s="118"/>
      <c r="T53" s="118"/>
    </row>
    <row r="54" spans="1:20" ht="27" customHeight="1">
      <c r="A54" s="88"/>
      <c r="B54" s="111"/>
      <c r="C54" s="112"/>
      <c r="D54" s="112"/>
      <c r="E54" s="113"/>
      <c r="F54" s="114"/>
      <c r="G54" s="114"/>
      <c r="H54" s="112"/>
      <c r="I54" s="112"/>
      <c r="J54" s="115"/>
      <c r="K54" s="115"/>
      <c r="L54" s="115"/>
      <c r="M54" s="116"/>
      <c r="N54" s="117">
        <f t="shared" si="0"/>
      </c>
      <c r="O54" s="118" t="str">
        <f t="shared" si="1"/>
        <v>-</v>
      </c>
      <c r="P54" s="100"/>
      <c r="Q54" s="118"/>
      <c r="R54" s="118"/>
      <c r="S54" s="118"/>
      <c r="T54" s="118"/>
    </row>
    <row r="55" spans="1:20" ht="27" customHeight="1">
      <c r="A55" s="88"/>
      <c r="B55" s="121"/>
      <c r="C55" s="112"/>
      <c r="D55" s="112"/>
      <c r="E55" s="113"/>
      <c r="F55" s="114"/>
      <c r="G55" s="114"/>
      <c r="H55" s="112"/>
      <c r="I55" s="112"/>
      <c r="J55" s="122"/>
      <c r="K55" s="122"/>
      <c r="L55" s="122"/>
      <c r="M55" s="116"/>
      <c r="N55" s="117">
        <f t="shared" si="0"/>
      </c>
      <c r="O55" s="118" t="str">
        <f t="shared" si="1"/>
        <v>-</v>
      </c>
      <c r="P55" s="100"/>
      <c r="Q55" s="118"/>
      <c r="R55" s="118"/>
      <c r="S55" s="118"/>
      <c r="T55" s="118"/>
    </row>
    <row r="56" spans="1:20" ht="27" customHeight="1">
      <c r="A56" s="88"/>
      <c r="B56" s="121"/>
      <c r="C56" s="112"/>
      <c r="D56" s="112"/>
      <c r="E56" s="113"/>
      <c r="F56" s="114"/>
      <c r="G56" s="114"/>
      <c r="H56" s="112"/>
      <c r="I56" s="112"/>
      <c r="J56" s="115"/>
      <c r="K56" s="115"/>
      <c r="L56" s="115"/>
      <c r="M56" s="116"/>
      <c r="N56" s="117">
        <f t="shared" si="0"/>
      </c>
      <c r="O56" s="118" t="str">
        <f t="shared" si="1"/>
        <v>-</v>
      </c>
      <c r="P56" s="100"/>
      <c r="Q56" s="118"/>
      <c r="R56" s="118"/>
      <c r="S56" s="118"/>
      <c r="T56" s="118"/>
    </row>
    <row r="57" spans="1:20" ht="27" customHeight="1">
      <c r="A57" s="88"/>
      <c r="B57" s="111"/>
      <c r="C57" s="112"/>
      <c r="D57" s="112"/>
      <c r="E57" s="113"/>
      <c r="F57" s="114"/>
      <c r="G57" s="114"/>
      <c r="H57" s="112"/>
      <c r="I57" s="112"/>
      <c r="J57" s="115"/>
      <c r="K57" s="115"/>
      <c r="L57" s="115"/>
      <c r="M57" s="116"/>
      <c r="N57" s="117">
        <f t="shared" si="0"/>
      </c>
      <c r="O57" s="118" t="str">
        <f t="shared" si="1"/>
        <v>-</v>
      </c>
      <c r="P57" s="100"/>
      <c r="Q57" s="118"/>
      <c r="R57" s="118"/>
      <c r="S57" s="118"/>
      <c r="T57" s="118"/>
    </row>
    <row r="58" spans="1:20" ht="27" customHeight="1">
      <c r="A58" s="88"/>
      <c r="B58" s="121"/>
      <c r="C58" s="112"/>
      <c r="D58" s="112"/>
      <c r="E58" s="113"/>
      <c r="F58" s="114"/>
      <c r="G58" s="114"/>
      <c r="H58" s="112"/>
      <c r="I58" s="112"/>
      <c r="J58" s="122"/>
      <c r="K58" s="122"/>
      <c r="L58" s="122"/>
      <c r="M58" s="116"/>
      <c r="N58" s="117">
        <f t="shared" si="0"/>
      </c>
      <c r="O58" s="118" t="str">
        <f t="shared" si="1"/>
        <v>-</v>
      </c>
      <c r="P58" s="100"/>
      <c r="Q58" s="118"/>
      <c r="R58" s="118"/>
      <c r="S58" s="118"/>
      <c r="T58" s="124"/>
    </row>
    <row r="59" spans="1:20" ht="27" customHeight="1">
      <c r="A59" s="88"/>
      <c r="B59" s="121"/>
      <c r="C59" s="112"/>
      <c r="D59" s="112"/>
      <c r="E59" s="113"/>
      <c r="F59" s="114"/>
      <c r="G59" s="114"/>
      <c r="H59" s="112"/>
      <c r="I59" s="112"/>
      <c r="J59" s="115"/>
      <c r="K59" s="115"/>
      <c r="L59" s="115"/>
      <c r="M59" s="116"/>
      <c r="N59" s="117">
        <f t="shared" si="0"/>
      </c>
      <c r="O59" s="118" t="str">
        <f t="shared" si="1"/>
        <v>-</v>
      </c>
      <c r="P59" s="100"/>
      <c r="Q59" s="118"/>
      <c r="R59" s="118"/>
      <c r="S59" s="118"/>
      <c r="T59" s="124"/>
    </row>
    <row r="60" spans="1:20" ht="27" customHeight="1">
      <c r="A60" s="88"/>
      <c r="B60" s="121"/>
      <c r="C60" s="112"/>
      <c r="D60" s="112"/>
      <c r="E60" s="113"/>
      <c r="F60" s="114"/>
      <c r="G60" s="114"/>
      <c r="H60" s="112"/>
      <c r="I60" s="112"/>
      <c r="J60" s="115"/>
      <c r="K60" s="115"/>
      <c r="L60" s="115"/>
      <c r="M60" s="116"/>
      <c r="N60" s="117">
        <f t="shared" si="0"/>
      </c>
      <c r="O60" s="118" t="str">
        <f t="shared" si="1"/>
        <v>-</v>
      </c>
      <c r="P60" s="100"/>
      <c r="Q60" s="118"/>
      <c r="R60" s="118"/>
      <c r="S60" s="118"/>
      <c r="T60" s="124"/>
    </row>
    <row r="61" spans="1:20" ht="27" customHeight="1">
      <c r="A61" s="88"/>
      <c r="B61" s="88"/>
      <c r="C61" s="112"/>
      <c r="D61" s="112"/>
      <c r="E61" s="113"/>
      <c r="F61" s="114"/>
      <c r="G61" s="114"/>
      <c r="H61" s="112"/>
      <c r="I61" s="112"/>
      <c r="J61" s="115"/>
      <c r="K61" s="115"/>
      <c r="L61" s="115"/>
      <c r="M61" s="116"/>
      <c r="N61" s="117">
        <f t="shared" si="0"/>
      </c>
      <c r="O61" s="118" t="str">
        <f t="shared" si="1"/>
        <v>-</v>
      </c>
      <c r="P61" s="100"/>
      <c r="Q61" s="118"/>
      <c r="R61" s="118"/>
      <c r="S61" s="118"/>
      <c r="T61" s="124"/>
    </row>
    <row r="62" spans="1:23" ht="27" customHeight="1">
      <c r="A62" s="88"/>
      <c r="B62" s="111"/>
      <c r="C62" s="112"/>
      <c r="D62" s="112"/>
      <c r="E62" s="113"/>
      <c r="F62" s="114"/>
      <c r="G62" s="114"/>
      <c r="H62" s="112"/>
      <c r="I62" s="112"/>
      <c r="J62" s="115"/>
      <c r="K62" s="115"/>
      <c r="L62" s="115"/>
      <c r="M62" s="116"/>
      <c r="N62" s="117">
        <f t="shared" si="0"/>
      </c>
      <c r="O62" s="118" t="str">
        <f t="shared" si="1"/>
        <v>-</v>
      </c>
      <c r="P62" s="100"/>
      <c r="Q62" s="118"/>
      <c r="R62" s="118"/>
      <c r="S62" s="118"/>
      <c r="T62" s="125"/>
      <c r="U62" s="118"/>
      <c r="V62" s="118"/>
      <c r="W62" s="118"/>
    </row>
    <row r="63" spans="1:20" ht="27" customHeight="1">
      <c r="A63" s="88"/>
      <c r="B63" s="121"/>
      <c r="C63" s="112"/>
      <c r="D63" s="112"/>
      <c r="E63" s="113"/>
      <c r="F63" s="114"/>
      <c r="G63" s="114"/>
      <c r="H63" s="112"/>
      <c r="I63" s="112"/>
      <c r="J63" s="115"/>
      <c r="K63" s="126"/>
      <c r="L63" s="115"/>
      <c r="M63" s="116"/>
      <c r="N63" s="117">
        <f t="shared" si="0"/>
      </c>
      <c r="O63" s="118" t="str">
        <f t="shared" si="1"/>
        <v>-</v>
      </c>
      <c r="P63" s="100"/>
      <c r="Q63" s="118"/>
      <c r="R63" s="118"/>
      <c r="S63" s="118"/>
      <c r="T63" s="118"/>
    </row>
    <row r="64" spans="1:20" ht="27" customHeight="1">
      <c r="A64" s="88"/>
      <c r="B64" s="121"/>
      <c r="C64" s="112"/>
      <c r="D64" s="112"/>
      <c r="E64" s="113"/>
      <c r="F64" s="114"/>
      <c r="G64" s="114"/>
      <c r="H64" s="112"/>
      <c r="I64" s="112"/>
      <c r="J64" s="115"/>
      <c r="K64" s="115"/>
      <c r="L64" s="115"/>
      <c r="M64" s="116"/>
      <c r="N64" s="117">
        <f t="shared" si="0"/>
      </c>
      <c r="O64" s="118" t="str">
        <f t="shared" si="1"/>
        <v>-</v>
      </c>
      <c r="P64" s="100"/>
      <c r="Q64" s="118"/>
      <c r="R64" s="118"/>
      <c r="S64" s="118"/>
      <c r="T64" s="118"/>
    </row>
    <row r="65" spans="1:20" ht="27" customHeight="1">
      <c r="A65" s="88"/>
      <c r="B65" s="111"/>
      <c r="C65" s="112"/>
      <c r="D65" s="112"/>
      <c r="E65" s="113"/>
      <c r="F65" s="114"/>
      <c r="G65" s="114"/>
      <c r="H65" s="112"/>
      <c r="I65" s="127"/>
      <c r="J65" s="115"/>
      <c r="K65" s="115"/>
      <c r="L65" s="122"/>
      <c r="M65" s="116"/>
      <c r="N65" s="117">
        <f t="shared" si="0"/>
      </c>
      <c r="O65" s="118" t="str">
        <f t="shared" si="1"/>
        <v>-</v>
      </c>
      <c r="P65" s="100"/>
      <c r="Q65" s="118"/>
      <c r="R65" s="118"/>
      <c r="S65" s="118"/>
      <c r="T65" s="118"/>
    </row>
    <row r="66" spans="1:20" ht="27" customHeight="1">
      <c r="A66" s="88"/>
      <c r="B66" s="111"/>
      <c r="C66" s="112"/>
      <c r="D66" s="112"/>
      <c r="E66" s="113"/>
      <c r="F66" s="114"/>
      <c r="G66" s="114"/>
      <c r="H66" s="112"/>
      <c r="I66" s="112"/>
      <c r="J66" s="115"/>
      <c r="K66" s="115"/>
      <c r="L66" s="122"/>
      <c r="M66" s="116"/>
      <c r="N66" s="117">
        <f t="shared" si="0"/>
      </c>
      <c r="O66" s="118" t="str">
        <f aca="true" t="shared" si="2" ref="O66:O128">IF(D66&gt;=E66,"-","ERR")</f>
        <v>-</v>
      </c>
      <c r="P66" s="100"/>
      <c r="Q66" s="118"/>
      <c r="R66" s="118"/>
      <c r="S66" s="118"/>
      <c r="T66" s="118"/>
    </row>
    <row r="67" spans="1:20" ht="27" customHeight="1" thickBot="1">
      <c r="A67" s="88"/>
      <c r="B67" s="111"/>
      <c r="C67" s="112"/>
      <c r="D67" s="112"/>
      <c r="E67" s="113"/>
      <c r="F67" s="114"/>
      <c r="G67" s="114"/>
      <c r="H67" s="112"/>
      <c r="I67" s="112"/>
      <c r="J67" s="115"/>
      <c r="K67" s="115"/>
      <c r="L67" s="115"/>
      <c r="M67" s="116"/>
      <c r="N67" s="117">
        <f t="shared" si="0"/>
      </c>
      <c r="O67" s="118" t="str">
        <f t="shared" si="2"/>
        <v>-</v>
      </c>
      <c r="P67" s="100"/>
      <c r="Q67" s="118"/>
      <c r="R67" s="118"/>
      <c r="S67" s="118"/>
      <c r="T67" s="118"/>
    </row>
    <row r="68" spans="1:20" ht="27" customHeight="1" thickTop="1">
      <c r="A68" s="209" t="s">
        <v>61</v>
      </c>
      <c r="B68" s="210"/>
      <c r="C68" s="211"/>
      <c r="D68" s="138"/>
      <c r="E68" s="139">
        <f>SUM(E48:E67)</f>
        <v>0</v>
      </c>
      <c r="F68" s="140"/>
      <c r="G68" s="140"/>
      <c r="H68" s="138"/>
      <c r="I68" s="138"/>
      <c r="J68" s="141"/>
      <c r="K68" s="141"/>
      <c r="L68" s="141"/>
      <c r="M68" s="142"/>
      <c r="N68" s="117"/>
      <c r="O68" s="118"/>
      <c r="P68" s="119"/>
      <c r="Q68" s="118"/>
      <c r="R68" s="118"/>
      <c r="S68" s="118"/>
      <c r="T68" s="118"/>
    </row>
    <row r="69" spans="1:20" ht="27" customHeight="1">
      <c r="A69" s="88"/>
      <c r="B69" s="111"/>
      <c r="C69" s="112"/>
      <c r="D69" s="112"/>
      <c r="E69" s="113"/>
      <c r="F69" s="114"/>
      <c r="G69" s="114"/>
      <c r="H69" s="112"/>
      <c r="I69" s="112"/>
      <c r="J69" s="115"/>
      <c r="K69" s="115"/>
      <c r="L69" s="115"/>
      <c r="M69" s="116"/>
      <c r="N69" s="117">
        <f t="shared" si="0"/>
      </c>
      <c r="O69" s="118" t="str">
        <f t="shared" si="2"/>
        <v>-</v>
      </c>
      <c r="P69" s="100"/>
      <c r="Q69" s="118"/>
      <c r="R69" s="118"/>
      <c r="S69" s="118"/>
      <c r="T69" s="118"/>
    </row>
    <row r="70" spans="1:20" ht="27" customHeight="1">
      <c r="A70" s="88"/>
      <c r="B70" s="111"/>
      <c r="C70" s="112"/>
      <c r="D70" s="112"/>
      <c r="E70" s="113"/>
      <c r="F70" s="114"/>
      <c r="G70" s="114"/>
      <c r="H70" s="112"/>
      <c r="I70" s="112"/>
      <c r="J70" s="115"/>
      <c r="K70" s="115"/>
      <c r="L70" s="115"/>
      <c r="M70" s="116"/>
      <c r="N70" s="117">
        <f aca="true" t="shared" si="3" ref="N70:N135">CONCATENATE(C70,H70)</f>
      </c>
      <c r="O70" s="118" t="str">
        <f t="shared" si="2"/>
        <v>-</v>
      </c>
      <c r="P70" s="100"/>
      <c r="Q70" s="118"/>
      <c r="R70" s="118"/>
      <c r="S70" s="118"/>
      <c r="T70" s="118"/>
    </row>
    <row r="71" spans="1:20" ht="27" customHeight="1">
      <c r="A71" s="88"/>
      <c r="B71" s="111"/>
      <c r="C71" s="112"/>
      <c r="D71" s="112"/>
      <c r="E71" s="113"/>
      <c r="F71" s="114"/>
      <c r="G71" s="114"/>
      <c r="H71" s="112"/>
      <c r="I71" s="112"/>
      <c r="J71" s="115"/>
      <c r="K71" s="115"/>
      <c r="L71" s="122"/>
      <c r="M71" s="116"/>
      <c r="N71" s="117">
        <f t="shared" si="3"/>
      </c>
      <c r="O71" s="118" t="str">
        <f t="shared" si="2"/>
        <v>-</v>
      </c>
      <c r="P71" s="100"/>
      <c r="Q71" s="118"/>
      <c r="R71" s="118"/>
      <c r="S71" s="118"/>
      <c r="T71" s="118"/>
    </row>
    <row r="72" spans="1:20" ht="27" customHeight="1">
      <c r="A72" s="88"/>
      <c r="B72" s="111"/>
      <c r="C72" s="112"/>
      <c r="D72" s="112"/>
      <c r="E72" s="113"/>
      <c r="F72" s="114"/>
      <c r="G72" s="114"/>
      <c r="H72" s="112"/>
      <c r="I72" s="112"/>
      <c r="J72" s="115"/>
      <c r="K72" s="115"/>
      <c r="L72" s="115"/>
      <c r="M72" s="116"/>
      <c r="N72" s="117">
        <f t="shared" si="3"/>
      </c>
      <c r="O72" s="118" t="str">
        <f t="shared" si="2"/>
        <v>-</v>
      </c>
      <c r="P72" s="100"/>
      <c r="Q72" s="118"/>
      <c r="R72" s="118"/>
      <c r="S72" s="118"/>
      <c r="T72" s="118"/>
    </row>
    <row r="73" spans="1:20" ht="27" customHeight="1">
      <c r="A73" s="88"/>
      <c r="B73" s="111"/>
      <c r="C73" s="112"/>
      <c r="D73" s="112"/>
      <c r="E73" s="113"/>
      <c r="F73" s="114"/>
      <c r="G73" s="114"/>
      <c r="H73" s="112"/>
      <c r="I73" s="112"/>
      <c r="J73" s="115"/>
      <c r="K73" s="115"/>
      <c r="L73" s="115"/>
      <c r="M73" s="116"/>
      <c r="N73" s="117">
        <f t="shared" si="3"/>
      </c>
      <c r="O73" s="118" t="str">
        <f t="shared" si="2"/>
        <v>-</v>
      </c>
      <c r="P73" s="100"/>
      <c r="Q73" s="118"/>
      <c r="R73" s="118"/>
      <c r="S73" s="118"/>
      <c r="T73" s="118"/>
    </row>
    <row r="74" spans="1:20" ht="27" customHeight="1">
      <c r="A74" s="88"/>
      <c r="B74" s="111"/>
      <c r="C74" s="112"/>
      <c r="D74" s="112"/>
      <c r="E74" s="113"/>
      <c r="F74" s="114"/>
      <c r="G74" s="114"/>
      <c r="H74" s="112"/>
      <c r="I74" s="112"/>
      <c r="J74" s="115"/>
      <c r="K74" s="115"/>
      <c r="L74" s="115"/>
      <c r="M74" s="116"/>
      <c r="N74" s="117">
        <f t="shared" si="3"/>
      </c>
      <c r="O74" s="118" t="str">
        <f t="shared" si="2"/>
        <v>-</v>
      </c>
      <c r="P74" s="100"/>
      <c r="Q74" s="118"/>
      <c r="R74" s="118"/>
      <c r="S74" s="118"/>
      <c r="T74" s="118"/>
    </row>
    <row r="75" spans="1:20" ht="27" customHeight="1">
      <c r="A75" s="88"/>
      <c r="B75" s="111"/>
      <c r="C75" s="112"/>
      <c r="D75" s="112"/>
      <c r="E75" s="113"/>
      <c r="F75" s="114"/>
      <c r="G75" s="114"/>
      <c r="H75" s="112"/>
      <c r="I75" s="123"/>
      <c r="J75" s="126"/>
      <c r="K75" s="115"/>
      <c r="L75" s="115"/>
      <c r="M75" s="116"/>
      <c r="N75" s="117">
        <f t="shared" si="3"/>
      </c>
      <c r="O75" s="118" t="str">
        <f t="shared" si="2"/>
        <v>-</v>
      </c>
      <c r="P75" s="100"/>
      <c r="Q75" s="118"/>
      <c r="R75" s="118"/>
      <c r="S75" s="118"/>
      <c r="T75" s="118"/>
    </row>
    <row r="76" spans="1:20" ht="27" customHeight="1">
      <c r="A76" s="88"/>
      <c r="B76" s="111"/>
      <c r="C76" s="112"/>
      <c r="D76" s="112"/>
      <c r="E76" s="113"/>
      <c r="F76" s="114"/>
      <c r="G76" s="114"/>
      <c r="H76" s="112"/>
      <c r="I76" s="112"/>
      <c r="J76" s="115"/>
      <c r="K76" s="115"/>
      <c r="L76" s="115"/>
      <c r="M76" s="116"/>
      <c r="N76" s="117">
        <f t="shared" si="3"/>
      </c>
      <c r="O76" s="118" t="str">
        <f t="shared" si="2"/>
        <v>-</v>
      </c>
      <c r="P76" s="100"/>
      <c r="Q76" s="118"/>
      <c r="R76" s="118"/>
      <c r="S76" s="118"/>
      <c r="T76" s="118"/>
    </row>
    <row r="77" spans="1:20" ht="27" customHeight="1">
      <c r="A77" s="88"/>
      <c r="B77" s="111"/>
      <c r="C77" s="112"/>
      <c r="D77" s="112"/>
      <c r="E77" s="113"/>
      <c r="F77" s="114"/>
      <c r="G77" s="114"/>
      <c r="H77" s="112"/>
      <c r="I77" s="112"/>
      <c r="J77" s="115"/>
      <c r="K77" s="115"/>
      <c r="L77" s="115"/>
      <c r="M77" s="116"/>
      <c r="N77" s="117">
        <f t="shared" si="3"/>
      </c>
      <c r="O77" s="118" t="str">
        <f t="shared" si="2"/>
        <v>-</v>
      </c>
      <c r="P77" s="100"/>
      <c r="Q77" s="118"/>
      <c r="R77" s="118"/>
      <c r="S77" s="118"/>
      <c r="T77" s="118"/>
    </row>
    <row r="78" spans="1:20" ht="27" customHeight="1">
      <c r="A78" s="88"/>
      <c r="B78" s="88"/>
      <c r="C78" s="112"/>
      <c r="D78" s="112"/>
      <c r="E78" s="113"/>
      <c r="F78" s="114"/>
      <c r="G78" s="114"/>
      <c r="H78" s="188"/>
      <c r="I78" s="112"/>
      <c r="J78" s="115"/>
      <c r="K78" s="115"/>
      <c r="L78" s="115"/>
      <c r="M78" s="116"/>
      <c r="N78" s="117">
        <f t="shared" si="3"/>
      </c>
      <c r="O78" s="118" t="str">
        <f t="shared" si="2"/>
        <v>-</v>
      </c>
      <c r="P78" s="100"/>
      <c r="Q78" s="118"/>
      <c r="R78" s="118"/>
      <c r="S78" s="118"/>
      <c r="T78" s="118"/>
    </row>
    <row r="79" spans="1:20" ht="27" customHeight="1">
      <c r="A79" s="88"/>
      <c r="B79" s="121"/>
      <c r="C79" s="112"/>
      <c r="D79" s="112"/>
      <c r="E79" s="113"/>
      <c r="F79" s="114"/>
      <c r="G79" s="114"/>
      <c r="H79" s="112"/>
      <c r="I79" s="112"/>
      <c r="J79" s="115"/>
      <c r="K79" s="115"/>
      <c r="L79" s="115"/>
      <c r="M79" s="116"/>
      <c r="N79" s="117">
        <f t="shared" si="3"/>
      </c>
      <c r="O79" s="118" t="str">
        <f t="shared" si="2"/>
        <v>-</v>
      </c>
      <c r="P79" s="100"/>
      <c r="Q79" s="118"/>
      <c r="R79" s="118"/>
      <c r="S79" s="118"/>
      <c r="T79" s="124"/>
    </row>
    <row r="80" spans="1:20" ht="27" customHeight="1">
      <c r="A80" s="88"/>
      <c r="B80" s="88"/>
      <c r="C80" s="112"/>
      <c r="D80" s="112"/>
      <c r="E80" s="113"/>
      <c r="F80" s="114"/>
      <c r="G80" s="114"/>
      <c r="H80" s="112"/>
      <c r="I80" s="112"/>
      <c r="J80" s="122"/>
      <c r="K80" s="122"/>
      <c r="L80" s="122"/>
      <c r="M80" s="116"/>
      <c r="N80" s="117">
        <f t="shared" si="3"/>
      </c>
      <c r="O80" s="118" t="str">
        <f t="shared" si="2"/>
        <v>-</v>
      </c>
      <c r="P80" s="100"/>
      <c r="Q80" s="118"/>
      <c r="R80" s="118"/>
      <c r="S80" s="118"/>
      <c r="T80" s="124"/>
    </row>
    <row r="81" spans="1:20" ht="27" customHeight="1">
      <c r="A81" s="88"/>
      <c r="B81" s="111"/>
      <c r="C81" s="112"/>
      <c r="D81" s="112"/>
      <c r="E81" s="113"/>
      <c r="F81" s="114"/>
      <c r="G81" s="114"/>
      <c r="H81" s="112"/>
      <c r="I81" s="112"/>
      <c r="J81" s="115"/>
      <c r="K81" s="115"/>
      <c r="L81" s="115"/>
      <c r="M81" s="116"/>
      <c r="N81" s="117">
        <f t="shared" si="3"/>
      </c>
      <c r="O81" s="118" t="str">
        <f t="shared" si="2"/>
        <v>-</v>
      </c>
      <c r="P81" s="100"/>
      <c r="Q81" s="118"/>
      <c r="R81" s="118"/>
      <c r="S81" s="118"/>
      <c r="T81" s="124"/>
    </row>
    <row r="82" spans="1:23" ht="27.75" customHeight="1">
      <c r="A82" s="88"/>
      <c r="B82" s="111"/>
      <c r="C82" s="112"/>
      <c r="D82" s="112"/>
      <c r="E82" s="113"/>
      <c r="F82" s="114"/>
      <c r="G82" s="114"/>
      <c r="H82" s="112"/>
      <c r="I82" s="123"/>
      <c r="J82" s="115"/>
      <c r="K82" s="115"/>
      <c r="L82" s="115"/>
      <c r="M82" s="116"/>
      <c r="N82" s="117">
        <f t="shared" si="3"/>
      </c>
      <c r="O82" s="118" t="str">
        <f t="shared" si="2"/>
        <v>-</v>
      </c>
      <c r="P82" s="100"/>
      <c r="Q82" s="118"/>
      <c r="R82" s="118"/>
      <c r="S82" s="118"/>
      <c r="T82" s="125"/>
      <c r="U82" s="118"/>
      <c r="V82" s="118"/>
      <c r="W82" s="118"/>
    </row>
    <row r="83" spans="1:20" ht="27" customHeight="1">
      <c r="A83" s="88"/>
      <c r="B83" s="111"/>
      <c r="C83" s="112"/>
      <c r="D83" s="112"/>
      <c r="E83" s="113"/>
      <c r="F83" s="114"/>
      <c r="G83" s="114"/>
      <c r="H83" s="112"/>
      <c r="I83" s="112"/>
      <c r="J83" s="115"/>
      <c r="K83" s="115"/>
      <c r="L83" s="115"/>
      <c r="M83" s="116"/>
      <c r="N83" s="117">
        <f t="shared" si="3"/>
      </c>
      <c r="O83" s="118" t="str">
        <f t="shared" si="2"/>
        <v>-</v>
      </c>
      <c r="P83" s="100"/>
      <c r="Q83" s="118"/>
      <c r="R83" s="118"/>
      <c r="S83" s="118"/>
      <c r="T83" s="118"/>
    </row>
    <row r="84" spans="1:20" ht="27" customHeight="1">
      <c r="A84" s="88"/>
      <c r="B84" s="111"/>
      <c r="C84" s="112"/>
      <c r="D84" s="112"/>
      <c r="E84" s="113"/>
      <c r="F84" s="114"/>
      <c r="G84" s="114"/>
      <c r="H84" s="112"/>
      <c r="I84" s="112"/>
      <c r="J84" s="115"/>
      <c r="K84" s="115"/>
      <c r="L84" s="115"/>
      <c r="M84" s="116"/>
      <c r="N84" s="117">
        <f t="shared" si="3"/>
      </c>
      <c r="O84" s="118" t="str">
        <f t="shared" si="2"/>
        <v>-</v>
      </c>
      <c r="P84" s="100"/>
      <c r="Q84" s="118"/>
      <c r="R84" s="118"/>
      <c r="S84" s="118"/>
      <c r="T84" s="118"/>
    </row>
    <row r="85" spans="1:20" ht="27" customHeight="1">
      <c r="A85" s="88"/>
      <c r="B85" s="111"/>
      <c r="C85" s="112"/>
      <c r="D85" s="112"/>
      <c r="E85" s="113"/>
      <c r="F85" s="114"/>
      <c r="G85" s="114"/>
      <c r="H85" s="112"/>
      <c r="I85" s="112"/>
      <c r="J85" s="115"/>
      <c r="K85" s="115"/>
      <c r="L85" s="115"/>
      <c r="M85" s="116"/>
      <c r="N85" s="117">
        <f t="shared" si="3"/>
      </c>
      <c r="O85" s="118" t="str">
        <f t="shared" si="2"/>
        <v>-</v>
      </c>
      <c r="P85" s="100"/>
      <c r="Q85" s="118"/>
      <c r="R85" s="118"/>
      <c r="S85" s="118"/>
      <c r="T85" s="118"/>
    </row>
    <row r="86" spans="1:20" ht="27" customHeight="1">
      <c r="A86" s="88"/>
      <c r="B86" s="121"/>
      <c r="C86" s="112"/>
      <c r="D86" s="112"/>
      <c r="E86" s="113"/>
      <c r="F86" s="114"/>
      <c r="G86" s="114"/>
      <c r="H86" s="112"/>
      <c r="I86" s="112"/>
      <c r="J86" s="115"/>
      <c r="K86" s="115"/>
      <c r="L86" s="115"/>
      <c r="M86" s="116"/>
      <c r="N86" s="117">
        <f t="shared" si="3"/>
      </c>
      <c r="O86" s="118" t="str">
        <f t="shared" si="2"/>
        <v>-</v>
      </c>
      <c r="P86" s="100"/>
      <c r="Q86" s="118"/>
      <c r="R86" s="118"/>
      <c r="S86" s="118"/>
      <c r="T86" s="118"/>
    </row>
    <row r="87" spans="1:20" ht="27" customHeight="1">
      <c r="A87" s="88"/>
      <c r="B87" s="121"/>
      <c r="C87" s="112"/>
      <c r="D87" s="112"/>
      <c r="E87" s="113"/>
      <c r="F87" s="114"/>
      <c r="G87" s="114"/>
      <c r="H87" s="112"/>
      <c r="I87" s="112"/>
      <c r="J87" s="115"/>
      <c r="K87" s="115"/>
      <c r="L87" s="115"/>
      <c r="M87" s="116"/>
      <c r="N87" s="117">
        <f t="shared" si="3"/>
      </c>
      <c r="O87" s="118" t="str">
        <f t="shared" si="2"/>
        <v>-</v>
      </c>
      <c r="P87" s="100"/>
      <c r="Q87" s="118"/>
      <c r="R87" s="118"/>
      <c r="S87" s="118"/>
      <c r="T87" s="118"/>
    </row>
    <row r="88" spans="1:20" ht="27" customHeight="1" thickBot="1">
      <c r="A88" s="88"/>
      <c r="B88" s="121"/>
      <c r="C88" s="112"/>
      <c r="D88" s="112"/>
      <c r="E88" s="113"/>
      <c r="F88" s="114"/>
      <c r="G88" s="114"/>
      <c r="H88" s="112"/>
      <c r="I88" s="112"/>
      <c r="J88" s="115"/>
      <c r="K88" s="115"/>
      <c r="L88" s="115"/>
      <c r="M88" s="116"/>
      <c r="N88" s="117">
        <f t="shared" si="3"/>
      </c>
      <c r="O88" s="118" t="str">
        <f t="shared" si="2"/>
        <v>-</v>
      </c>
      <c r="P88" s="100"/>
      <c r="Q88" s="118"/>
      <c r="R88" s="118"/>
      <c r="S88" s="118"/>
      <c r="T88" s="118"/>
    </row>
    <row r="89" spans="1:20" ht="27" customHeight="1" thickTop="1">
      <c r="A89" s="209" t="s">
        <v>61</v>
      </c>
      <c r="B89" s="210"/>
      <c r="C89" s="211"/>
      <c r="D89" s="138"/>
      <c r="E89" s="139">
        <f>SUM(E69:E88)</f>
        <v>0</v>
      </c>
      <c r="F89" s="140"/>
      <c r="G89" s="140"/>
      <c r="H89" s="138"/>
      <c r="I89" s="138"/>
      <c r="J89" s="141"/>
      <c r="K89" s="141"/>
      <c r="L89" s="141"/>
      <c r="M89" s="142"/>
      <c r="N89" s="117"/>
      <c r="O89" s="118"/>
      <c r="P89" s="119"/>
      <c r="Q89" s="118"/>
      <c r="R89" s="118"/>
      <c r="S89" s="118"/>
      <c r="T89" s="118"/>
    </row>
    <row r="90" spans="1:20" ht="27" customHeight="1">
      <c r="A90" s="88"/>
      <c r="B90" s="111"/>
      <c r="C90" s="112"/>
      <c r="D90" s="112"/>
      <c r="E90" s="113"/>
      <c r="F90" s="114"/>
      <c r="G90" s="114"/>
      <c r="H90" s="112"/>
      <c r="I90" s="112"/>
      <c r="J90" s="115"/>
      <c r="K90" s="115"/>
      <c r="L90" s="115"/>
      <c r="M90" s="116"/>
      <c r="N90" s="117">
        <f t="shared" si="3"/>
      </c>
      <c r="O90" s="118" t="str">
        <f t="shared" si="2"/>
        <v>-</v>
      </c>
      <c r="P90" s="100"/>
      <c r="Q90" s="118"/>
      <c r="R90" s="118"/>
      <c r="S90" s="118"/>
      <c r="T90" s="118"/>
    </row>
    <row r="91" spans="1:20" ht="27" customHeight="1">
      <c r="A91" s="88"/>
      <c r="B91" s="111"/>
      <c r="C91" s="112"/>
      <c r="D91" s="112"/>
      <c r="E91" s="113"/>
      <c r="F91" s="114"/>
      <c r="G91" s="114"/>
      <c r="H91" s="112"/>
      <c r="I91" s="112"/>
      <c r="J91" s="115"/>
      <c r="K91" s="115"/>
      <c r="L91" s="115"/>
      <c r="M91" s="116"/>
      <c r="N91" s="117">
        <f t="shared" si="3"/>
      </c>
      <c r="O91" s="118" t="str">
        <f t="shared" si="2"/>
        <v>-</v>
      </c>
      <c r="P91" s="100"/>
      <c r="Q91" s="118"/>
      <c r="R91" s="118"/>
      <c r="S91" s="118"/>
      <c r="T91" s="118"/>
    </row>
    <row r="92" spans="1:20" ht="27" customHeight="1">
      <c r="A92" s="88"/>
      <c r="B92" s="121"/>
      <c r="C92" s="112"/>
      <c r="D92" s="112"/>
      <c r="E92" s="113"/>
      <c r="F92" s="114"/>
      <c r="G92" s="114"/>
      <c r="H92" s="112"/>
      <c r="I92" s="112"/>
      <c r="J92" s="115"/>
      <c r="K92" s="115"/>
      <c r="L92" s="115"/>
      <c r="M92" s="116"/>
      <c r="N92" s="117">
        <f t="shared" si="3"/>
      </c>
      <c r="O92" s="118" t="str">
        <f t="shared" si="2"/>
        <v>-</v>
      </c>
      <c r="P92" s="100"/>
      <c r="Q92" s="118"/>
      <c r="R92" s="118"/>
      <c r="S92" s="118"/>
      <c r="T92" s="118"/>
    </row>
    <row r="93" spans="1:20" ht="27" customHeight="1">
      <c r="A93" s="88"/>
      <c r="B93" s="121"/>
      <c r="C93" s="112"/>
      <c r="D93" s="112"/>
      <c r="E93" s="113"/>
      <c r="F93" s="114"/>
      <c r="G93" s="114"/>
      <c r="H93" s="112"/>
      <c r="I93" s="112"/>
      <c r="J93" s="115"/>
      <c r="K93" s="115"/>
      <c r="L93" s="115"/>
      <c r="M93" s="116"/>
      <c r="N93" s="117">
        <f t="shared" si="3"/>
      </c>
      <c r="O93" s="118" t="str">
        <f t="shared" si="2"/>
        <v>-</v>
      </c>
      <c r="P93" s="100"/>
      <c r="Q93" s="118"/>
      <c r="R93" s="118"/>
      <c r="S93" s="118"/>
      <c r="T93" s="118"/>
    </row>
    <row r="94" spans="1:20" ht="27" customHeight="1">
      <c r="A94" s="88"/>
      <c r="B94" s="89"/>
      <c r="C94" s="112"/>
      <c r="D94" s="112"/>
      <c r="E94" s="113"/>
      <c r="F94" s="114"/>
      <c r="G94" s="114"/>
      <c r="H94" s="112"/>
      <c r="I94" s="112"/>
      <c r="J94" s="115"/>
      <c r="K94" s="115"/>
      <c r="L94" s="115"/>
      <c r="M94" s="116"/>
      <c r="N94" s="117">
        <f t="shared" si="3"/>
      </c>
      <c r="O94" s="118" t="str">
        <f t="shared" si="2"/>
        <v>-</v>
      </c>
      <c r="P94" s="100"/>
      <c r="Q94" s="118"/>
      <c r="R94" s="118"/>
      <c r="S94" s="118"/>
      <c r="T94" s="118"/>
    </row>
    <row r="95" spans="1:20" ht="27" customHeight="1">
      <c r="A95" s="88"/>
      <c r="B95" s="121"/>
      <c r="C95" s="112"/>
      <c r="D95" s="112"/>
      <c r="E95" s="113"/>
      <c r="F95" s="114"/>
      <c r="G95" s="114"/>
      <c r="H95" s="112"/>
      <c r="I95" s="112"/>
      <c r="J95" s="115"/>
      <c r="K95" s="115"/>
      <c r="L95" s="115"/>
      <c r="M95" s="116"/>
      <c r="N95" s="117">
        <f t="shared" si="3"/>
      </c>
      <c r="O95" s="118" t="str">
        <f t="shared" si="2"/>
        <v>-</v>
      </c>
      <c r="P95" s="100"/>
      <c r="Q95" s="118"/>
      <c r="R95" s="118"/>
      <c r="S95" s="118"/>
      <c r="T95" s="118"/>
    </row>
    <row r="96" spans="1:20" ht="27" customHeight="1">
      <c r="A96" s="88"/>
      <c r="B96" s="121"/>
      <c r="C96" s="112"/>
      <c r="D96" s="112"/>
      <c r="E96" s="113"/>
      <c r="F96" s="114"/>
      <c r="G96" s="114"/>
      <c r="H96" s="112"/>
      <c r="I96" s="112"/>
      <c r="J96" s="115"/>
      <c r="K96" s="115"/>
      <c r="L96" s="115"/>
      <c r="M96" s="116"/>
      <c r="N96" s="117">
        <f t="shared" si="3"/>
      </c>
      <c r="O96" s="118" t="str">
        <f t="shared" si="2"/>
        <v>-</v>
      </c>
      <c r="P96" s="100"/>
      <c r="Q96" s="118"/>
      <c r="R96" s="118"/>
      <c r="S96" s="118"/>
      <c r="T96" s="118"/>
    </row>
    <row r="97" spans="1:20" ht="27" customHeight="1">
      <c r="A97" s="88"/>
      <c r="B97" s="121"/>
      <c r="C97" s="112"/>
      <c r="D97" s="112"/>
      <c r="E97" s="113"/>
      <c r="F97" s="114"/>
      <c r="G97" s="114"/>
      <c r="H97" s="112"/>
      <c r="I97" s="112"/>
      <c r="J97" s="115"/>
      <c r="K97" s="115"/>
      <c r="L97" s="115"/>
      <c r="M97" s="116"/>
      <c r="N97" s="117">
        <f t="shared" si="3"/>
      </c>
      <c r="O97" s="118" t="str">
        <f t="shared" si="2"/>
        <v>-</v>
      </c>
      <c r="P97" s="100"/>
      <c r="Q97" s="118"/>
      <c r="R97" s="118"/>
      <c r="S97" s="118"/>
      <c r="T97" s="124"/>
    </row>
    <row r="98" spans="1:20" ht="27" customHeight="1">
      <c r="A98" s="88"/>
      <c r="B98" s="111"/>
      <c r="C98" s="112"/>
      <c r="D98" s="112"/>
      <c r="E98" s="113"/>
      <c r="F98" s="114"/>
      <c r="G98" s="114"/>
      <c r="H98" s="112"/>
      <c r="I98" s="123"/>
      <c r="J98" s="115"/>
      <c r="K98" s="115"/>
      <c r="L98" s="122"/>
      <c r="M98" s="116"/>
      <c r="N98" s="117">
        <f t="shared" si="3"/>
      </c>
      <c r="O98" s="118" t="str">
        <f t="shared" si="2"/>
        <v>-</v>
      </c>
      <c r="P98" s="100"/>
      <c r="Q98" s="118"/>
      <c r="R98" s="118"/>
      <c r="S98" s="118"/>
      <c r="T98" s="124"/>
    </row>
    <row r="99" spans="1:20" ht="27" customHeight="1">
      <c r="A99" s="88"/>
      <c r="B99" s="121"/>
      <c r="C99" s="112"/>
      <c r="D99" s="112"/>
      <c r="E99" s="113"/>
      <c r="F99" s="114"/>
      <c r="G99" s="114"/>
      <c r="H99" s="112"/>
      <c r="I99" s="112"/>
      <c r="J99" s="115"/>
      <c r="K99" s="115"/>
      <c r="L99" s="122"/>
      <c r="M99" s="116"/>
      <c r="N99" s="117">
        <f t="shared" si="3"/>
      </c>
      <c r="O99" s="118" t="str">
        <f t="shared" si="2"/>
        <v>-</v>
      </c>
      <c r="P99" s="100"/>
      <c r="Q99" s="118"/>
      <c r="R99" s="118"/>
      <c r="S99" s="118"/>
      <c r="T99" s="124"/>
    </row>
    <row r="100" spans="1:20" ht="27" customHeight="1">
      <c r="A100" s="88"/>
      <c r="B100" s="121"/>
      <c r="C100" s="112"/>
      <c r="D100" s="112"/>
      <c r="E100" s="113"/>
      <c r="F100" s="114"/>
      <c r="G100" s="114"/>
      <c r="H100" s="112"/>
      <c r="I100" s="127"/>
      <c r="J100" s="115"/>
      <c r="K100" s="115"/>
      <c r="L100" s="115"/>
      <c r="M100" s="116"/>
      <c r="N100" s="117">
        <f t="shared" si="3"/>
      </c>
      <c r="O100" s="118" t="str">
        <f t="shared" si="2"/>
        <v>-</v>
      </c>
      <c r="P100" s="100"/>
      <c r="Q100" s="118"/>
      <c r="R100" s="118"/>
      <c r="S100" s="118"/>
      <c r="T100" s="124"/>
    </row>
    <row r="101" spans="1:23" ht="27" customHeight="1">
      <c r="A101" s="88"/>
      <c r="B101" s="121"/>
      <c r="C101" s="112"/>
      <c r="D101" s="112"/>
      <c r="E101" s="113"/>
      <c r="F101" s="114"/>
      <c r="G101" s="114"/>
      <c r="H101" s="112"/>
      <c r="I101" s="112"/>
      <c r="J101" s="115"/>
      <c r="K101" s="115"/>
      <c r="L101" s="115"/>
      <c r="M101" s="116"/>
      <c r="N101" s="117">
        <f t="shared" si="3"/>
      </c>
      <c r="O101" s="118" t="str">
        <f t="shared" si="2"/>
        <v>-</v>
      </c>
      <c r="P101" s="100"/>
      <c r="Q101" s="118"/>
      <c r="R101" s="118"/>
      <c r="S101" s="118"/>
      <c r="T101" s="125"/>
      <c r="U101" s="118"/>
      <c r="V101" s="118"/>
      <c r="W101" s="118"/>
    </row>
    <row r="102" spans="1:20" ht="27" customHeight="1">
      <c r="A102" s="88"/>
      <c r="B102" s="121"/>
      <c r="C102" s="112"/>
      <c r="D102" s="112"/>
      <c r="E102" s="113"/>
      <c r="F102" s="114"/>
      <c r="G102" s="114"/>
      <c r="H102" s="112"/>
      <c r="I102" s="127"/>
      <c r="J102" s="115"/>
      <c r="K102" s="115"/>
      <c r="L102" s="115"/>
      <c r="M102" s="116"/>
      <c r="N102" s="117">
        <f t="shared" si="3"/>
      </c>
      <c r="O102" s="118" t="str">
        <f t="shared" si="2"/>
        <v>-</v>
      </c>
      <c r="P102" s="100"/>
      <c r="Q102" s="118"/>
      <c r="R102" s="118"/>
      <c r="S102" s="118"/>
      <c r="T102" s="118"/>
    </row>
    <row r="103" spans="1:20" ht="27" customHeight="1">
      <c r="A103" s="88"/>
      <c r="B103" s="121"/>
      <c r="C103" s="112"/>
      <c r="D103" s="112"/>
      <c r="E103" s="113"/>
      <c r="F103" s="114"/>
      <c r="G103" s="114"/>
      <c r="H103" s="112"/>
      <c r="I103" s="112"/>
      <c r="J103" s="115"/>
      <c r="K103" s="115"/>
      <c r="L103" s="115"/>
      <c r="M103" s="116"/>
      <c r="N103" s="117">
        <f t="shared" si="3"/>
      </c>
      <c r="O103" s="118" t="str">
        <f t="shared" si="2"/>
        <v>-</v>
      </c>
      <c r="P103" s="100"/>
      <c r="Q103" s="118"/>
      <c r="R103" s="118"/>
      <c r="S103" s="118"/>
      <c r="T103" s="118"/>
    </row>
    <row r="104" spans="1:20" ht="27" customHeight="1">
      <c r="A104" s="88"/>
      <c r="B104" s="121"/>
      <c r="C104" s="112"/>
      <c r="D104" s="112"/>
      <c r="E104" s="113"/>
      <c r="F104" s="114"/>
      <c r="G104" s="114"/>
      <c r="H104" s="112"/>
      <c r="I104" s="112"/>
      <c r="J104" s="122"/>
      <c r="K104" s="120"/>
      <c r="L104" s="122"/>
      <c r="M104" s="116"/>
      <c r="N104" s="117">
        <f t="shared" si="3"/>
      </c>
      <c r="O104" s="118" t="str">
        <f t="shared" si="2"/>
        <v>-</v>
      </c>
      <c r="P104" s="100"/>
      <c r="Q104" s="118"/>
      <c r="R104" s="118"/>
      <c r="S104" s="118"/>
      <c r="T104" s="118"/>
    </row>
    <row r="105" spans="1:20" ht="27" customHeight="1">
      <c r="A105" s="88"/>
      <c r="B105" s="121"/>
      <c r="C105" s="112"/>
      <c r="D105" s="112"/>
      <c r="E105" s="113"/>
      <c r="F105" s="114"/>
      <c r="G105" s="114"/>
      <c r="H105" s="112"/>
      <c r="I105" s="112"/>
      <c r="J105" s="115"/>
      <c r="K105" s="115"/>
      <c r="L105" s="122"/>
      <c r="M105" s="116"/>
      <c r="N105" s="117">
        <f t="shared" si="3"/>
      </c>
      <c r="O105" s="118" t="str">
        <f t="shared" si="2"/>
        <v>-</v>
      </c>
      <c r="P105" s="100"/>
      <c r="Q105" s="118"/>
      <c r="R105" s="118"/>
      <c r="S105" s="118"/>
      <c r="T105" s="118"/>
    </row>
    <row r="106" spans="1:20" ht="27" customHeight="1">
      <c r="A106" s="88"/>
      <c r="B106" s="111"/>
      <c r="C106" s="112"/>
      <c r="D106" s="112"/>
      <c r="E106" s="113"/>
      <c r="F106" s="114"/>
      <c r="G106" s="114"/>
      <c r="H106" s="112"/>
      <c r="I106" s="112"/>
      <c r="J106" s="122"/>
      <c r="K106" s="122"/>
      <c r="L106" s="122"/>
      <c r="M106" s="116"/>
      <c r="N106" s="117">
        <f t="shared" si="3"/>
      </c>
      <c r="O106" s="118" t="str">
        <f t="shared" si="2"/>
        <v>-</v>
      </c>
      <c r="P106" s="100"/>
      <c r="Q106" s="118"/>
      <c r="R106" s="118"/>
      <c r="S106" s="118"/>
      <c r="T106" s="118"/>
    </row>
    <row r="107" spans="1:20" ht="27" customHeight="1">
      <c r="A107" s="88"/>
      <c r="B107" s="121"/>
      <c r="C107" s="112"/>
      <c r="D107" s="112"/>
      <c r="E107" s="113"/>
      <c r="F107" s="114"/>
      <c r="G107" s="114"/>
      <c r="H107" s="112"/>
      <c r="I107" s="127"/>
      <c r="J107" s="115"/>
      <c r="K107" s="115"/>
      <c r="L107" s="115"/>
      <c r="M107" s="116"/>
      <c r="N107" s="117">
        <f t="shared" si="3"/>
      </c>
      <c r="O107" s="118" t="str">
        <f t="shared" si="2"/>
        <v>-</v>
      </c>
      <c r="P107" s="100"/>
      <c r="Q107" s="118"/>
      <c r="R107" s="118"/>
      <c r="S107" s="118"/>
      <c r="T107" s="118"/>
    </row>
    <row r="108" spans="1:20" ht="27" customHeight="1">
      <c r="A108" s="88"/>
      <c r="B108" s="121"/>
      <c r="C108" s="112"/>
      <c r="D108" s="112"/>
      <c r="E108" s="113"/>
      <c r="F108" s="114"/>
      <c r="G108" s="114"/>
      <c r="H108" s="112"/>
      <c r="I108" s="112"/>
      <c r="J108" s="115"/>
      <c r="K108" s="115"/>
      <c r="L108" s="122"/>
      <c r="M108" s="116"/>
      <c r="N108" s="117">
        <f t="shared" si="3"/>
      </c>
      <c r="O108" s="118" t="str">
        <f t="shared" si="2"/>
        <v>-</v>
      </c>
      <c r="P108" s="100"/>
      <c r="Q108" s="118"/>
      <c r="R108" s="118"/>
      <c r="S108" s="118"/>
      <c r="T108" s="118"/>
    </row>
    <row r="109" spans="1:20" ht="27" customHeight="1" thickBot="1">
      <c r="A109" s="88"/>
      <c r="B109" s="121"/>
      <c r="C109" s="112"/>
      <c r="D109" s="112"/>
      <c r="E109" s="113"/>
      <c r="F109" s="114"/>
      <c r="G109" s="114"/>
      <c r="H109" s="112"/>
      <c r="I109" s="112"/>
      <c r="J109" s="115"/>
      <c r="K109" s="115"/>
      <c r="L109" s="115"/>
      <c r="M109" s="116"/>
      <c r="N109" s="117">
        <f t="shared" si="3"/>
      </c>
      <c r="O109" s="118" t="str">
        <f t="shared" si="2"/>
        <v>-</v>
      </c>
      <c r="P109" s="100"/>
      <c r="Q109" s="118"/>
      <c r="R109" s="118"/>
      <c r="S109" s="118"/>
      <c r="T109" s="118"/>
    </row>
    <row r="110" spans="1:20" ht="27" customHeight="1" thickTop="1">
      <c r="A110" s="209" t="s">
        <v>61</v>
      </c>
      <c r="B110" s="210"/>
      <c r="C110" s="211"/>
      <c r="D110" s="138"/>
      <c r="E110" s="139">
        <f>SUM(E90:E109)</f>
        <v>0</v>
      </c>
      <c r="F110" s="140"/>
      <c r="G110" s="140"/>
      <c r="H110" s="138"/>
      <c r="I110" s="138"/>
      <c r="J110" s="141"/>
      <c r="K110" s="141"/>
      <c r="L110" s="141"/>
      <c r="M110" s="142"/>
      <c r="N110" s="117"/>
      <c r="O110" s="118"/>
      <c r="P110" s="119"/>
      <c r="Q110" s="118"/>
      <c r="R110" s="118"/>
      <c r="S110" s="118"/>
      <c r="T110" s="118"/>
    </row>
    <row r="111" spans="1:20" ht="27" customHeight="1">
      <c r="A111" s="88"/>
      <c r="B111" s="111"/>
      <c r="C111" s="112"/>
      <c r="D111" s="112"/>
      <c r="E111" s="113"/>
      <c r="F111" s="114"/>
      <c r="G111" s="114"/>
      <c r="H111" s="112"/>
      <c r="I111" s="123"/>
      <c r="J111" s="115"/>
      <c r="K111" s="115"/>
      <c r="L111" s="115"/>
      <c r="M111" s="116"/>
      <c r="N111" s="117">
        <f t="shared" si="3"/>
      </c>
      <c r="O111" s="118" t="str">
        <f t="shared" si="2"/>
        <v>-</v>
      </c>
      <c r="P111" s="100"/>
      <c r="Q111" s="118"/>
      <c r="R111" s="118"/>
      <c r="S111" s="118"/>
      <c r="T111" s="118"/>
    </row>
    <row r="112" spans="1:20" ht="27" customHeight="1">
      <c r="A112" s="88"/>
      <c r="B112" s="121"/>
      <c r="C112" s="112"/>
      <c r="D112" s="112"/>
      <c r="E112" s="113"/>
      <c r="F112" s="114"/>
      <c r="G112" s="114"/>
      <c r="H112" s="112"/>
      <c r="I112" s="112"/>
      <c r="J112" s="115"/>
      <c r="K112" s="115"/>
      <c r="L112" s="115"/>
      <c r="M112" s="116"/>
      <c r="N112" s="117">
        <f t="shared" si="3"/>
      </c>
      <c r="O112" s="118" t="str">
        <f t="shared" si="2"/>
        <v>-</v>
      </c>
      <c r="P112" s="100"/>
      <c r="Q112" s="118"/>
      <c r="R112" s="118"/>
      <c r="S112" s="118"/>
      <c r="T112" s="118"/>
    </row>
    <row r="113" spans="1:20" ht="27" customHeight="1">
      <c r="A113" s="88"/>
      <c r="B113" s="121"/>
      <c r="C113" s="112"/>
      <c r="D113" s="112"/>
      <c r="E113" s="113"/>
      <c r="F113" s="114"/>
      <c r="G113" s="114"/>
      <c r="H113" s="112"/>
      <c r="I113" s="112"/>
      <c r="J113" s="115"/>
      <c r="K113" s="115"/>
      <c r="L113" s="115"/>
      <c r="M113" s="116"/>
      <c r="N113" s="117">
        <f t="shared" si="3"/>
      </c>
      <c r="O113" s="118" t="str">
        <f t="shared" si="2"/>
        <v>-</v>
      </c>
      <c r="P113" s="100"/>
      <c r="Q113" s="118"/>
      <c r="R113" s="118"/>
      <c r="S113" s="118"/>
      <c r="T113" s="118"/>
    </row>
    <row r="114" spans="1:20" ht="27" customHeight="1">
      <c r="A114" s="88"/>
      <c r="B114" s="121"/>
      <c r="C114" s="112"/>
      <c r="D114" s="112"/>
      <c r="E114" s="113"/>
      <c r="F114" s="114"/>
      <c r="G114" s="114"/>
      <c r="H114" s="112"/>
      <c r="I114" s="112"/>
      <c r="J114" s="115"/>
      <c r="K114" s="115"/>
      <c r="L114" s="115"/>
      <c r="M114" s="116"/>
      <c r="N114" s="117">
        <f t="shared" si="3"/>
      </c>
      <c r="O114" s="118" t="str">
        <f t="shared" si="2"/>
        <v>-</v>
      </c>
      <c r="P114" s="100"/>
      <c r="Q114" s="118"/>
      <c r="R114" s="118"/>
      <c r="S114" s="118"/>
      <c r="T114" s="118"/>
    </row>
    <row r="115" spans="1:20" ht="27" customHeight="1">
      <c r="A115" s="88"/>
      <c r="B115" s="111"/>
      <c r="C115" s="112"/>
      <c r="D115" s="112"/>
      <c r="E115" s="113"/>
      <c r="F115" s="114"/>
      <c r="G115" s="114"/>
      <c r="H115" s="112"/>
      <c r="I115" s="112"/>
      <c r="J115" s="115"/>
      <c r="K115" s="115"/>
      <c r="L115" s="115"/>
      <c r="M115" s="116"/>
      <c r="N115" s="117">
        <f t="shared" si="3"/>
      </c>
      <c r="O115" s="118" t="str">
        <f t="shared" si="2"/>
        <v>-</v>
      </c>
      <c r="P115" s="100"/>
      <c r="Q115" s="118"/>
      <c r="R115" s="118"/>
      <c r="S115" s="118"/>
      <c r="T115" s="124"/>
    </row>
    <row r="116" spans="1:20" ht="27" customHeight="1">
      <c r="A116" s="88"/>
      <c r="B116" s="111"/>
      <c r="C116" s="112"/>
      <c r="D116" s="112"/>
      <c r="E116" s="113"/>
      <c r="F116" s="114"/>
      <c r="G116" s="114"/>
      <c r="H116" s="112"/>
      <c r="I116" s="112"/>
      <c r="J116" s="115"/>
      <c r="K116" s="115"/>
      <c r="L116" s="115"/>
      <c r="M116" s="116"/>
      <c r="N116" s="117">
        <f t="shared" si="3"/>
      </c>
      <c r="O116" s="118" t="str">
        <f t="shared" si="2"/>
        <v>-</v>
      </c>
      <c r="P116" s="100"/>
      <c r="Q116" s="118"/>
      <c r="R116" s="118"/>
      <c r="S116" s="118"/>
      <c r="T116" s="124"/>
    </row>
    <row r="117" spans="1:23" ht="27" customHeight="1">
      <c r="A117" s="88"/>
      <c r="B117" s="121"/>
      <c r="C117" s="112"/>
      <c r="D117" s="112"/>
      <c r="E117" s="113"/>
      <c r="F117" s="114"/>
      <c r="G117" s="114"/>
      <c r="H117" s="112"/>
      <c r="I117" s="112"/>
      <c r="J117" s="115"/>
      <c r="K117" s="115"/>
      <c r="L117" s="115"/>
      <c r="M117" s="116"/>
      <c r="N117" s="117">
        <f t="shared" si="3"/>
      </c>
      <c r="O117" s="118" t="str">
        <f t="shared" si="2"/>
        <v>-</v>
      </c>
      <c r="P117" s="118"/>
      <c r="Q117" s="118"/>
      <c r="R117" s="118"/>
      <c r="S117" s="118"/>
      <c r="T117" s="125"/>
      <c r="U117" s="118"/>
      <c r="V117" s="118"/>
      <c r="W117" s="118"/>
    </row>
    <row r="118" spans="1:20" ht="27" customHeight="1">
      <c r="A118" s="88"/>
      <c r="B118" s="111"/>
      <c r="C118" s="112"/>
      <c r="D118" s="112"/>
      <c r="E118" s="113"/>
      <c r="F118" s="114"/>
      <c r="G118" s="114"/>
      <c r="H118" s="112"/>
      <c r="I118" s="112"/>
      <c r="J118" s="115"/>
      <c r="K118" s="115"/>
      <c r="L118" s="115"/>
      <c r="M118" s="116"/>
      <c r="N118" s="117">
        <f t="shared" si="3"/>
      </c>
      <c r="O118" s="118" t="str">
        <f t="shared" si="2"/>
        <v>-</v>
      </c>
      <c r="P118" s="118"/>
      <c r="Q118" s="118"/>
      <c r="R118" s="118"/>
      <c r="S118" s="118"/>
      <c r="T118" s="118"/>
    </row>
    <row r="119" spans="1:20" ht="27" customHeight="1">
      <c r="A119" s="88"/>
      <c r="B119" s="121"/>
      <c r="C119" s="112"/>
      <c r="D119" s="112"/>
      <c r="E119" s="113"/>
      <c r="F119" s="114"/>
      <c r="G119" s="114"/>
      <c r="H119" s="112"/>
      <c r="I119" s="112"/>
      <c r="J119" s="115"/>
      <c r="K119" s="120"/>
      <c r="L119" s="115"/>
      <c r="M119" s="116"/>
      <c r="N119" s="117">
        <f t="shared" si="3"/>
      </c>
      <c r="O119" s="118" t="str">
        <f t="shared" si="2"/>
        <v>-</v>
      </c>
      <c r="P119" s="118"/>
      <c r="Q119" s="118"/>
      <c r="R119" s="118"/>
      <c r="S119" s="118"/>
      <c r="T119" s="118"/>
    </row>
    <row r="120" spans="1:20" ht="27" customHeight="1">
      <c r="A120" s="88"/>
      <c r="B120" s="121"/>
      <c r="C120" s="112"/>
      <c r="D120" s="112"/>
      <c r="E120" s="113"/>
      <c r="F120" s="114"/>
      <c r="G120" s="114"/>
      <c r="H120" s="112"/>
      <c r="I120" s="112"/>
      <c r="J120" s="115"/>
      <c r="K120" s="115"/>
      <c r="L120" s="115"/>
      <c r="M120" s="116"/>
      <c r="N120" s="117">
        <f t="shared" si="3"/>
      </c>
      <c r="O120" s="118" t="str">
        <f t="shared" si="2"/>
        <v>-</v>
      </c>
      <c r="P120" s="118"/>
      <c r="Q120" s="118"/>
      <c r="R120" s="118"/>
      <c r="S120" s="118"/>
      <c r="T120" s="118"/>
    </row>
    <row r="121" spans="1:20" ht="27" customHeight="1">
      <c r="A121" s="88"/>
      <c r="B121" s="121"/>
      <c r="C121" s="112"/>
      <c r="D121" s="112"/>
      <c r="E121" s="113"/>
      <c r="F121" s="114"/>
      <c r="G121" s="114"/>
      <c r="H121" s="112"/>
      <c r="I121" s="112"/>
      <c r="J121" s="115"/>
      <c r="K121" s="115"/>
      <c r="L121" s="115"/>
      <c r="M121" s="116"/>
      <c r="N121" s="117">
        <f t="shared" si="3"/>
      </c>
      <c r="O121" s="118" t="str">
        <f t="shared" si="2"/>
        <v>-</v>
      </c>
      <c r="P121" s="118"/>
      <c r="Q121" s="118"/>
      <c r="R121" s="118"/>
      <c r="S121" s="118"/>
      <c r="T121" s="118"/>
    </row>
    <row r="122" spans="1:20" ht="27" customHeight="1">
      <c r="A122" s="88"/>
      <c r="B122" s="135"/>
      <c r="C122" s="112"/>
      <c r="D122" s="112"/>
      <c r="E122" s="136"/>
      <c r="F122" s="122"/>
      <c r="G122" s="122"/>
      <c r="H122" s="112"/>
      <c r="I122" s="112"/>
      <c r="J122" s="128"/>
      <c r="K122" s="115"/>
      <c r="L122" s="115"/>
      <c r="M122" s="116"/>
      <c r="N122" s="117">
        <f t="shared" si="3"/>
      </c>
      <c r="O122" s="118" t="str">
        <f t="shared" si="2"/>
        <v>-</v>
      </c>
      <c r="P122" s="118"/>
      <c r="Q122" s="118"/>
      <c r="R122" s="118"/>
      <c r="S122" s="118"/>
      <c r="T122" s="118"/>
    </row>
    <row r="123" spans="1:20" ht="27" customHeight="1">
      <c r="A123" s="88"/>
      <c r="B123" s="121"/>
      <c r="C123" s="112"/>
      <c r="D123" s="112"/>
      <c r="E123" s="113"/>
      <c r="F123" s="114"/>
      <c r="G123" s="114"/>
      <c r="H123" s="112"/>
      <c r="I123" s="127"/>
      <c r="J123" s="115"/>
      <c r="K123" s="115"/>
      <c r="L123" s="115"/>
      <c r="M123" s="116"/>
      <c r="N123" s="117">
        <f t="shared" si="3"/>
      </c>
      <c r="O123" s="118" t="str">
        <f t="shared" si="2"/>
        <v>-</v>
      </c>
      <c r="P123" s="118"/>
      <c r="Q123" s="118"/>
      <c r="R123" s="118"/>
      <c r="S123" s="118"/>
      <c r="T123" s="118"/>
    </row>
    <row r="124" spans="1:20" ht="27" customHeight="1">
      <c r="A124" s="88"/>
      <c r="B124" s="121"/>
      <c r="C124" s="112"/>
      <c r="D124" s="112"/>
      <c r="E124" s="113"/>
      <c r="F124" s="114"/>
      <c r="G124" s="114"/>
      <c r="H124" s="112"/>
      <c r="I124" s="112"/>
      <c r="J124" s="115"/>
      <c r="K124" s="115"/>
      <c r="L124" s="115"/>
      <c r="M124" s="116"/>
      <c r="N124" s="117">
        <f t="shared" si="3"/>
      </c>
      <c r="O124" s="118" t="str">
        <f t="shared" si="2"/>
        <v>-</v>
      </c>
      <c r="P124" s="118"/>
      <c r="Q124" s="118"/>
      <c r="R124" s="118"/>
      <c r="S124" s="118"/>
      <c r="T124" s="118"/>
    </row>
    <row r="125" spans="1:20" ht="27" customHeight="1">
      <c r="A125" s="88"/>
      <c r="B125" s="121"/>
      <c r="C125" s="112"/>
      <c r="D125" s="112"/>
      <c r="E125" s="113"/>
      <c r="F125" s="114"/>
      <c r="G125" s="114"/>
      <c r="H125" s="112"/>
      <c r="I125" s="112"/>
      <c r="J125" s="115"/>
      <c r="K125" s="115"/>
      <c r="L125" s="115"/>
      <c r="M125" s="116"/>
      <c r="N125" s="117">
        <f t="shared" si="3"/>
      </c>
      <c r="O125" s="118" t="str">
        <f t="shared" si="2"/>
        <v>-</v>
      </c>
      <c r="P125" s="118"/>
      <c r="Q125" s="118"/>
      <c r="R125" s="118"/>
      <c r="S125" s="118"/>
      <c r="T125" s="118"/>
    </row>
    <row r="126" spans="1:20" ht="27" customHeight="1">
      <c r="A126" s="88"/>
      <c r="B126" s="89"/>
      <c r="C126" s="112"/>
      <c r="D126" s="112"/>
      <c r="E126" s="113"/>
      <c r="F126" s="114"/>
      <c r="G126" s="114"/>
      <c r="H126" s="112"/>
      <c r="I126" s="112"/>
      <c r="J126" s="115"/>
      <c r="K126" s="115"/>
      <c r="L126" s="115"/>
      <c r="M126" s="116"/>
      <c r="N126" s="117">
        <f t="shared" si="3"/>
      </c>
      <c r="O126" s="118" t="str">
        <f t="shared" si="2"/>
        <v>-</v>
      </c>
      <c r="P126" s="118"/>
      <c r="Q126" s="118"/>
      <c r="R126" s="118"/>
      <c r="S126" s="118"/>
      <c r="T126" s="118"/>
    </row>
    <row r="127" spans="1:20" ht="27" customHeight="1">
      <c r="A127" s="88"/>
      <c r="B127" s="89"/>
      <c r="C127" s="112"/>
      <c r="D127" s="112"/>
      <c r="E127" s="113"/>
      <c r="F127" s="114"/>
      <c r="G127" s="114"/>
      <c r="H127" s="112"/>
      <c r="I127" s="112"/>
      <c r="J127" s="115"/>
      <c r="K127" s="115"/>
      <c r="L127" s="115"/>
      <c r="M127" s="116"/>
      <c r="N127" s="117">
        <f t="shared" si="3"/>
      </c>
      <c r="O127" s="118" t="str">
        <f t="shared" si="2"/>
        <v>-</v>
      </c>
      <c r="P127" s="118"/>
      <c r="Q127" s="118"/>
      <c r="R127" s="118"/>
      <c r="S127" s="118"/>
      <c r="T127" s="118"/>
    </row>
    <row r="128" spans="1:20" ht="27" customHeight="1">
      <c r="A128" s="88"/>
      <c r="B128" s="89"/>
      <c r="C128" s="112"/>
      <c r="D128" s="112"/>
      <c r="E128" s="113"/>
      <c r="F128" s="114"/>
      <c r="G128" s="114"/>
      <c r="H128" s="112"/>
      <c r="I128" s="112"/>
      <c r="J128" s="115"/>
      <c r="K128" s="115"/>
      <c r="L128" s="115"/>
      <c r="M128" s="116"/>
      <c r="N128" s="117">
        <f t="shared" si="3"/>
      </c>
      <c r="O128" s="118" t="str">
        <f t="shared" si="2"/>
        <v>-</v>
      </c>
      <c r="P128" s="118"/>
      <c r="Q128" s="118"/>
      <c r="R128" s="118"/>
      <c r="S128" s="118"/>
      <c r="T128" s="118"/>
    </row>
    <row r="129" spans="1:20" ht="27" customHeight="1">
      <c r="A129" s="88"/>
      <c r="B129" s="89"/>
      <c r="C129" s="112"/>
      <c r="D129" s="112"/>
      <c r="E129" s="113"/>
      <c r="F129" s="114"/>
      <c r="G129" s="114"/>
      <c r="H129" s="112"/>
      <c r="I129" s="112"/>
      <c r="J129" s="115"/>
      <c r="K129" s="115"/>
      <c r="L129" s="115"/>
      <c r="M129" s="116"/>
      <c r="N129" s="117">
        <f t="shared" si="3"/>
      </c>
      <c r="O129" s="118" t="str">
        <f aca="true" t="shared" si="4" ref="O129:O176">IF(D129&gt;=E129,"-","ERR")</f>
        <v>-</v>
      </c>
      <c r="P129" s="118"/>
      <c r="Q129" s="118"/>
      <c r="R129" s="118"/>
      <c r="S129" s="118"/>
      <c r="T129" s="118"/>
    </row>
    <row r="130" spans="1:20" ht="27" customHeight="1" thickBot="1">
      <c r="A130" s="88"/>
      <c r="B130" s="89"/>
      <c r="C130" s="112"/>
      <c r="D130" s="112"/>
      <c r="E130" s="113"/>
      <c r="F130" s="114"/>
      <c r="G130" s="114"/>
      <c r="H130" s="112"/>
      <c r="I130" s="112"/>
      <c r="J130" s="115"/>
      <c r="K130" s="115"/>
      <c r="L130" s="115"/>
      <c r="M130" s="116"/>
      <c r="N130" s="117">
        <f t="shared" si="3"/>
      </c>
      <c r="O130" s="118" t="str">
        <f t="shared" si="4"/>
        <v>-</v>
      </c>
      <c r="P130" s="118"/>
      <c r="Q130" s="118"/>
      <c r="R130" s="118"/>
      <c r="S130" s="118"/>
      <c r="T130" s="118"/>
    </row>
    <row r="131" spans="1:20" ht="27" customHeight="1" thickTop="1">
      <c r="A131" s="209" t="s">
        <v>61</v>
      </c>
      <c r="B131" s="210"/>
      <c r="C131" s="211"/>
      <c r="D131" s="138"/>
      <c r="E131" s="139">
        <f>SUM(E111:E130)</f>
        <v>0</v>
      </c>
      <c r="F131" s="140"/>
      <c r="G131" s="140"/>
      <c r="H131" s="138"/>
      <c r="I131" s="138"/>
      <c r="J131" s="141"/>
      <c r="K131" s="141"/>
      <c r="L131" s="141"/>
      <c r="M131" s="142"/>
      <c r="N131" s="117"/>
      <c r="O131" s="118"/>
      <c r="P131" s="119"/>
      <c r="Q131" s="118"/>
      <c r="R131" s="118"/>
      <c r="S131" s="118"/>
      <c r="T131" s="118"/>
    </row>
    <row r="132" spans="1:20" ht="27" customHeight="1">
      <c r="A132" s="88"/>
      <c r="B132" s="88"/>
      <c r="C132" s="112"/>
      <c r="D132" s="112"/>
      <c r="E132" s="113"/>
      <c r="F132" s="114"/>
      <c r="G132" s="114"/>
      <c r="H132" s="112"/>
      <c r="I132" s="112"/>
      <c r="J132" s="122"/>
      <c r="K132" s="122"/>
      <c r="L132" s="122"/>
      <c r="M132" s="116"/>
      <c r="N132" s="117">
        <f t="shared" si="3"/>
      </c>
      <c r="O132" s="118" t="str">
        <f t="shared" si="4"/>
        <v>-</v>
      </c>
      <c r="P132" s="118"/>
      <c r="Q132" s="118"/>
      <c r="R132" s="118"/>
      <c r="S132" s="118"/>
      <c r="T132" s="118"/>
    </row>
    <row r="133" spans="1:20" ht="27" customHeight="1">
      <c r="A133" s="88"/>
      <c r="B133" s="89"/>
      <c r="C133" s="112"/>
      <c r="D133" s="112"/>
      <c r="E133" s="113"/>
      <c r="F133" s="114"/>
      <c r="G133" s="114"/>
      <c r="H133" s="112"/>
      <c r="I133" s="112"/>
      <c r="J133" s="115"/>
      <c r="K133" s="115"/>
      <c r="L133" s="115"/>
      <c r="M133" s="116"/>
      <c r="N133" s="117">
        <f t="shared" si="3"/>
      </c>
      <c r="O133" s="118" t="str">
        <f t="shared" si="4"/>
        <v>-</v>
      </c>
      <c r="P133" s="118"/>
      <c r="Q133" s="118"/>
      <c r="R133" s="118"/>
      <c r="S133" s="118"/>
      <c r="T133" s="124"/>
    </row>
    <row r="134" spans="1:20" ht="27" customHeight="1">
      <c r="A134" s="88"/>
      <c r="B134" s="89"/>
      <c r="C134" s="112"/>
      <c r="D134" s="112"/>
      <c r="E134" s="113"/>
      <c r="F134" s="114"/>
      <c r="G134" s="114"/>
      <c r="H134" s="112"/>
      <c r="I134" s="112"/>
      <c r="J134" s="115"/>
      <c r="K134" s="115"/>
      <c r="L134" s="115"/>
      <c r="M134" s="116"/>
      <c r="N134" s="117">
        <f t="shared" si="3"/>
      </c>
      <c r="O134" s="118" t="str">
        <f t="shared" si="4"/>
        <v>-</v>
      </c>
      <c r="P134" s="118"/>
      <c r="Q134" s="118"/>
      <c r="R134" s="118"/>
      <c r="S134" s="118"/>
      <c r="T134" s="124"/>
    </row>
    <row r="135" spans="1:20" ht="27" customHeight="1">
      <c r="A135" s="88"/>
      <c r="B135" s="89"/>
      <c r="C135" s="112"/>
      <c r="D135" s="112"/>
      <c r="E135" s="113"/>
      <c r="F135" s="114"/>
      <c r="G135" s="114"/>
      <c r="H135" s="112"/>
      <c r="I135" s="127"/>
      <c r="J135" s="115"/>
      <c r="K135" s="115"/>
      <c r="L135" s="115"/>
      <c r="M135" s="116"/>
      <c r="N135" s="117">
        <f t="shared" si="3"/>
      </c>
      <c r="O135" s="118" t="str">
        <f t="shared" si="4"/>
        <v>-</v>
      </c>
      <c r="P135" s="118"/>
      <c r="Q135" s="118"/>
      <c r="R135" s="118"/>
      <c r="S135" s="118"/>
      <c r="T135" s="124"/>
    </row>
    <row r="136" spans="1:20" ht="27" customHeight="1">
      <c r="A136" s="88"/>
      <c r="B136" s="88"/>
      <c r="C136" s="112"/>
      <c r="D136" s="112"/>
      <c r="E136" s="113"/>
      <c r="F136" s="114"/>
      <c r="G136" s="114"/>
      <c r="H136" s="112"/>
      <c r="I136" s="112"/>
      <c r="J136" s="115"/>
      <c r="K136" s="115"/>
      <c r="L136" s="115"/>
      <c r="M136" s="116"/>
      <c r="N136" s="117">
        <f aca="true" t="shared" si="5" ref="N136:N194">CONCATENATE(C136,H136)</f>
      </c>
      <c r="O136" s="118" t="str">
        <f t="shared" si="4"/>
        <v>-</v>
      </c>
      <c r="P136" s="118"/>
      <c r="Q136" s="118"/>
      <c r="R136" s="118"/>
      <c r="S136" s="118"/>
      <c r="T136" s="124"/>
    </row>
    <row r="137" spans="1:23" ht="27" customHeight="1">
      <c r="A137" s="88"/>
      <c r="B137" s="89"/>
      <c r="C137" s="112"/>
      <c r="D137" s="112"/>
      <c r="E137" s="113"/>
      <c r="F137" s="114"/>
      <c r="G137" s="114"/>
      <c r="H137" s="112"/>
      <c r="I137" s="112"/>
      <c r="J137" s="115"/>
      <c r="K137" s="115"/>
      <c r="L137" s="115"/>
      <c r="M137" s="116"/>
      <c r="N137" s="117">
        <f t="shared" si="5"/>
      </c>
      <c r="O137" s="118" t="str">
        <f t="shared" si="4"/>
        <v>-</v>
      </c>
      <c r="P137" s="118"/>
      <c r="Q137" s="118"/>
      <c r="R137" s="118"/>
      <c r="S137" s="118"/>
      <c r="T137" s="125"/>
      <c r="U137" s="118"/>
      <c r="V137" s="118"/>
      <c r="W137" s="118"/>
    </row>
    <row r="138" spans="1:20" ht="27" customHeight="1">
      <c r="A138" s="88"/>
      <c r="B138" s="89"/>
      <c r="C138" s="112"/>
      <c r="D138" s="112"/>
      <c r="E138" s="113"/>
      <c r="F138" s="114"/>
      <c r="G138" s="114"/>
      <c r="H138" s="112"/>
      <c r="I138" s="112"/>
      <c r="J138" s="115"/>
      <c r="K138" s="115"/>
      <c r="L138" s="115"/>
      <c r="M138" s="116"/>
      <c r="N138" s="117">
        <f t="shared" si="5"/>
      </c>
      <c r="O138" s="118" t="str">
        <f t="shared" si="4"/>
        <v>-</v>
      </c>
      <c r="P138" s="118"/>
      <c r="Q138" s="118"/>
      <c r="R138" s="118"/>
      <c r="S138" s="118"/>
      <c r="T138" s="118"/>
    </row>
    <row r="139" spans="1:20" ht="27" customHeight="1">
      <c r="A139" s="88"/>
      <c r="B139" s="89"/>
      <c r="C139" s="112"/>
      <c r="D139" s="112"/>
      <c r="E139" s="113"/>
      <c r="F139" s="114"/>
      <c r="G139" s="114"/>
      <c r="H139" s="112"/>
      <c r="I139" s="112"/>
      <c r="J139" s="115"/>
      <c r="K139" s="115"/>
      <c r="L139" s="115"/>
      <c r="M139" s="116"/>
      <c r="N139" s="117">
        <f t="shared" si="5"/>
      </c>
      <c r="O139" s="118" t="str">
        <f t="shared" si="4"/>
        <v>-</v>
      </c>
      <c r="P139" s="118"/>
      <c r="Q139" s="118"/>
      <c r="R139" s="118"/>
      <c r="S139" s="118"/>
      <c r="T139" s="118"/>
    </row>
    <row r="140" spans="1:20" ht="27" customHeight="1">
      <c r="A140" s="88"/>
      <c r="B140" s="88"/>
      <c r="C140" s="112"/>
      <c r="D140" s="112"/>
      <c r="E140" s="113"/>
      <c r="F140" s="114"/>
      <c r="G140" s="114"/>
      <c r="H140" s="112"/>
      <c r="I140" s="112"/>
      <c r="J140" s="115"/>
      <c r="K140" s="115"/>
      <c r="L140" s="115"/>
      <c r="M140" s="116"/>
      <c r="N140" s="117">
        <f t="shared" si="5"/>
      </c>
      <c r="O140" s="118" t="str">
        <f t="shared" si="4"/>
        <v>-</v>
      </c>
      <c r="P140" s="118"/>
      <c r="Q140" s="118"/>
      <c r="R140" s="118"/>
      <c r="S140" s="118"/>
      <c r="T140" s="118"/>
    </row>
    <row r="141" spans="1:20" ht="27" customHeight="1">
      <c r="A141" s="88"/>
      <c r="B141" s="88"/>
      <c r="C141" s="112"/>
      <c r="D141" s="112"/>
      <c r="E141" s="113"/>
      <c r="F141" s="114"/>
      <c r="G141" s="114"/>
      <c r="H141" s="112"/>
      <c r="I141" s="112"/>
      <c r="J141" s="122"/>
      <c r="K141" s="122"/>
      <c r="L141" s="122"/>
      <c r="M141" s="116"/>
      <c r="N141" s="117">
        <f t="shared" si="5"/>
      </c>
      <c r="O141" s="118" t="str">
        <f t="shared" si="4"/>
        <v>-</v>
      </c>
      <c r="P141" s="118"/>
      <c r="Q141" s="118"/>
      <c r="R141" s="118"/>
      <c r="S141" s="118"/>
      <c r="T141" s="118"/>
    </row>
    <row r="142" spans="1:20" ht="27" customHeight="1">
      <c r="A142" s="88"/>
      <c r="B142" s="89"/>
      <c r="C142" s="112"/>
      <c r="D142" s="112"/>
      <c r="E142" s="113"/>
      <c r="F142" s="114"/>
      <c r="G142" s="114"/>
      <c r="H142" s="112"/>
      <c r="I142" s="112"/>
      <c r="J142" s="115"/>
      <c r="K142" s="115"/>
      <c r="L142" s="122"/>
      <c r="M142" s="116"/>
      <c r="N142" s="117">
        <f t="shared" si="5"/>
      </c>
      <c r="O142" s="118" t="str">
        <f t="shared" si="4"/>
        <v>-</v>
      </c>
      <c r="P142" s="118"/>
      <c r="Q142" s="118"/>
      <c r="R142" s="118"/>
      <c r="S142" s="118"/>
      <c r="T142" s="118"/>
    </row>
    <row r="143" spans="1:20" ht="27" customHeight="1">
      <c r="A143" s="88"/>
      <c r="B143" s="88"/>
      <c r="C143" s="112"/>
      <c r="D143" s="112"/>
      <c r="E143" s="113"/>
      <c r="F143" s="114"/>
      <c r="G143" s="114"/>
      <c r="H143" s="112"/>
      <c r="I143" s="112"/>
      <c r="J143" s="115"/>
      <c r="K143" s="115"/>
      <c r="L143" s="115"/>
      <c r="M143" s="116"/>
      <c r="N143" s="117">
        <f t="shared" si="5"/>
      </c>
      <c r="O143" s="118" t="str">
        <f t="shared" si="4"/>
        <v>-</v>
      </c>
      <c r="P143" s="118"/>
      <c r="Q143" s="118"/>
      <c r="R143" s="118"/>
      <c r="S143" s="118"/>
      <c r="T143" s="118"/>
    </row>
    <row r="144" spans="1:20" ht="27" customHeight="1">
      <c r="A144" s="88"/>
      <c r="B144" s="89"/>
      <c r="C144" s="112"/>
      <c r="D144" s="112"/>
      <c r="E144" s="113"/>
      <c r="F144" s="114"/>
      <c r="G144" s="114"/>
      <c r="H144" s="112"/>
      <c r="I144" s="112"/>
      <c r="J144" s="115"/>
      <c r="K144" s="115"/>
      <c r="L144" s="115"/>
      <c r="M144" s="116"/>
      <c r="N144" s="117">
        <f t="shared" si="5"/>
      </c>
      <c r="O144" s="118" t="str">
        <f t="shared" si="4"/>
        <v>-</v>
      </c>
      <c r="P144" s="118"/>
      <c r="Q144" s="118"/>
      <c r="R144" s="118"/>
      <c r="S144" s="118"/>
      <c r="T144" s="118"/>
    </row>
    <row r="145" spans="1:20" ht="27" customHeight="1">
      <c r="A145" s="88"/>
      <c r="B145" s="88"/>
      <c r="C145" s="112"/>
      <c r="D145" s="112"/>
      <c r="E145" s="113"/>
      <c r="F145" s="114"/>
      <c r="G145" s="114"/>
      <c r="H145" s="112"/>
      <c r="I145" s="127"/>
      <c r="J145" s="115"/>
      <c r="K145" s="115"/>
      <c r="L145" s="115"/>
      <c r="M145" s="116"/>
      <c r="N145" s="117">
        <f t="shared" si="5"/>
      </c>
      <c r="O145" s="118" t="str">
        <f t="shared" si="4"/>
        <v>-</v>
      </c>
      <c r="P145" s="118"/>
      <c r="Q145" s="118"/>
      <c r="R145" s="118"/>
      <c r="S145" s="118"/>
      <c r="T145" s="118"/>
    </row>
    <row r="146" spans="1:20" ht="27" customHeight="1">
      <c r="A146" s="88"/>
      <c r="B146" s="89"/>
      <c r="C146" s="112"/>
      <c r="D146" s="112"/>
      <c r="E146" s="113"/>
      <c r="F146" s="114"/>
      <c r="G146" s="114"/>
      <c r="H146" s="112"/>
      <c r="I146" s="127"/>
      <c r="J146" s="126"/>
      <c r="K146" s="115"/>
      <c r="L146" s="122"/>
      <c r="M146" s="116"/>
      <c r="N146" s="117">
        <f t="shared" si="5"/>
      </c>
      <c r="O146" s="118" t="str">
        <f t="shared" si="4"/>
        <v>-</v>
      </c>
      <c r="P146" s="118"/>
      <c r="Q146" s="118"/>
      <c r="R146" s="118"/>
      <c r="S146" s="118"/>
      <c r="T146" s="118"/>
    </row>
    <row r="147" spans="1:20" ht="27" customHeight="1">
      <c r="A147" s="88"/>
      <c r="B147" s="89"/>
      <c r="C147" s="112"/>
      <c r="D147" s="112"/>
      <c r="E147" s="113"/>
      <c r="F147" s="114"/>
      <c r="G147" s="114"/>
      <c r="H147" s="112"/>
      <c r="I147" s="112"/>
      <c r="J147" s="115"/>
      <c r="K147" s="115"/>
      <c r="L147" s="115"/>
      <c r="M147" s="116"/>
      <c r="N147" s="117">
        <f t="shared" si="5"/>
      </c>
      <c r="O147" s="118" t="str">
        <f t="shared" si="4"/>
        <v>-</v>
      </c>
      <c r="P147" s="118"/>
      <c r="Q147" s="118"/>
      <c r="R147" s="118"/>
      <c r="S147" s="118"/>
      <c r="T147" s="118"/>
    </row>
    <row r="148" spans="1:20" ht="27" customHeight="1">
      <c r="A148" s="88"/>
      <c r="B148" s="88"/>
      <c r="C148" s="112"/>
      <c r="D148" s="112"/>
      <c r="E148" s="113"/>
      <c r="F148" s="114"/>
      <c r="G148" s="114"/>
      <c r="H148" s="112"/>
      <c r="I148" s="112"/>
      <c r="J148" s="115"/>
      <c r="K148" s="115"/>
      <c r="L148" s="115"/>
      <c r="M148" s="116"/>
      <c r="N148" s="117">
        <f t="shared" si="5"/>
      </c>
      <c r="O148" s="118" t="str">
        <f t="shared" si="4"/>
        <v>-</v>
      </c>
      <c r="P148" s="118"/>
      <c r="Q148" s="118"/>
      <c r="R148" s="118"/>
      <c r="S148" s="118"/>
      <c r="T148" s="118"/>
    </row>
    <row r="149" spans="1:20" ht="27" customHeight="1">
      <c r="A149" s="88"/>
      <c r="B149" s="88"/>
      <c r="C149" s="112"/>
      <c r="D149" s="112"/>
      <c r="E149" s="113"/>
      <c r="F149" s="114"/>
      <c r="G149" s="114"/>
      <c r="H149" s="112"/>
      <c r="I149" s="112"/>
      <c r="J149" s="115"/>
      <c r="K149" s="115"/>
      <c r="L149" s="115"/>
      <c r="M149" s="116"/>
      <c r="N149" s="117">
        <f t="shared" si="5"/>
      </c>
      <c r="O149" s="118" t="str">
        <f t="shared" si="4"/>
        <v>-</v>
      </c>
      <c r="P149" s="118"/>
      <c r="Q149" s="118"/>
      <c r="R149" s="118"/>
      <c r="S149" s="118"/>
      <c r="T149" s="118"/>
    </row>
    <row r="150" spans="1:20" ht="27" customHeight="1">
      <c r="A150" s="88"/>
      <c r="B150" s="89"/>
      <c r="C150" s="112"/>
      <c r="D150" s="112"/>
      <c r="E150" s="113"/>
      <c r="F150" s="114"/>
      <c r="G150" s="114"/>
      <c r="H150" s="112"/>
      <c r="I150" s="123"/>
      <c r="J150" s="115"/>
      <c r="K150" s="115"/>
      <c r="L150" s="115"/>
      <c r="M150" s="116"/>
      <c r="N150" s="117">
        <f t="shared" si="5"/>
      </c>
      <c r="O150" s="118" t="str">
        <f t="shared" si="4"/>
        <v>-</v>
      </c>
      <c r="P150" s="118"/>
      <c r="Q150" s="118"/>
      <c r="R150" s="118"/>
      <c r="S150" s="118"/>
      <c r="T150" s="118"/>
    </row>
    <row r="151" spans="1:20" ht="27" customHeight="1" thickBot="1">
      <c r="A151" s="88"/>
      <c r="B151" s="88"/>
      <c r="C151" s="112"/>
      <c r="D151" s="112"/>
      <c r="E151" s="113"/>
      <c r="F151" s="114"/>
      <c r="G151" s="114"/>
      <c r="H151" s="112"/>
      <c r="I151" s="112"/>
      <c r="J151" s="115"/>
      <c r="K151" s="115"/>
      <c r="L151" s="122"/>
      <c r="M151" s="116"/>
      <c r="N151" s="117">
        <f t="shared" si="5"/>
      </c>
      <c r="O151" s="118" t="str">
        <f t="shared" si="4"/>
        <v>-</v>
      </c>
      <c r="P151" s="118"/>
      <c r="Q151" s="118"/>
      <c r="R151" s="118"/>
      <c r="S151" s="118"/>
      <c r="T151" s="118"/>
    </row>
    <row r="152" spans="1:20" ht="27" customHeight="1" thickTop="1">
      <c r="A152" s="209" t="s">
        <v>61</v>
      </c>
      <c r="B152" s="210"/>
      <c r="C152" s="211"/>
      <c r="D152" s="138"/>
      <c r="E152" s="139">
        <f>SUM(E132:E151)</f>
        <v>0</v>
      </c>
      <c r="F152" s="140"/>
      <c r="G152" s="140"/>
      <c r="H152" s="138"/>
      <c r="I152" s="138"/>
      <c r="J152" s="141"/>
      <c r="K152" s="141"/>
      <c r="L152" s="141"/>
      <c r="M152" s="142"/>
      <c r="N152" s="117"/>
      <c r="O152" s="118"/>
      <c r="P152" s="119"/>
      <c r="Q152" s="118"/>
      <c r="R152" s="118"/>
      <c r="S152" s="118"/>
      <c r="T152" s="118"/>
    </row>
    <row r="153" spans="1:20" ht="27" customHeight="1">
      <c r="A153" s="88"/>
      <c r="B153" s="89"/>
      <c r="C153" s="112"/>
      <c r="D153" s="112"/>
      <c r="E153" s="113"/>
      <c r="F153" s="114"/>
      <c r="G153" s="114"/>
      <c r="H153" s="112"/>
      <c r="I153" s="112"/>
      <c r="J153" s="115"/>
      <c r="K153" s="115"/>
      <c r="L153" s="122"/>
      <c r="M153" s="116"/>
      <c r="N153" s="117">
        <f t="shared" si="5"/>
      </c>
      <c r="O153" s="118" t="str">
        <f t="shared" si="4"/>
        <v>-</v>
      </c>
      <c r="P153" s="118"/>
      <c r="Q153" s="118"/>
      <c r="R153" s="118"/>
      <c r="S153" s="118"/>
      <c r="T153" s="118"/>
    </row>
    <row r="154" spans="1:20" ht="27" customHeight="1">
      <c r="A154" s="88"/>
      <c r="B154" s="89"/>
      <c r="C154" s="112"/>
      <c r="D154" s="112"/>
      <c r="E154" s="113"/>
      <c r="F154" s="114"/>
      <c r="G154" s="114"/>
      <c r="H154" s="112"/>
      <c r="I154" s="123"/>
      <c r="J154" s="115"/>
      <c r="K154" s="115"/>
      <c r="L154" s="122"/>
      <c r="M154" s="116"/>
      <c r="N154" s="117">
        <f t="shared" si="5"/>
      </c>
      <c r="O154" s="118" t="str">
        <f t="shared" si="4"/>
        <v>-</v>
      </c>
      <c r="P154" s="118"/>
      <c r="Q154" s="118"/>
      <c r="R154" s="118"/>
      <c r="S154" s="118"/>
      <c r="T154" s="124"/>
    </row>
    <row r="155" spans="1:20" ht="27" customHeight="1">
      <c r="A155" s="88"/>
      <c r="B155" s="89"/>
      <c r="C155" s="112"/>
      <c r="D155" s="112"/>
      <c r="E155" s="113"/>
      <c r="F155" s="114"/>
      <c r="G155" s="114"/>
      <c r="H155" s="112"/>
      <c r="I155" s="112"/>
      <c r="J155" s="126"/>
      <c r="K155" s="115"/>
      <c r="L155" s="115"/>
      <c r="M155" s="116"/>
      <c r="N155" s="117">
        <f t="shared" si="5"/>
      </c>
      <c r="O155" s="118" t="str">
        <f t="shared" si="4"/>
        <v>-</v>
      </c>
      <c r="P155" s="118"/>
      <c r="Q155" s="118"/>
      <c r="R155" s="118"/>
      <c r="S155" s="118"/>
      <c r="T155" s="124"/>
    </row>
    <row r="156" spans="1:20" ht="27" customHeight="1">
      <c r="A156" s="88"/>
      <c r="B156" s="89"/>
      <c r="C156" s="112"/>
      <c r="D156" s="112"/>
      <c r="E156" s="113"/>
      <c r="F156" s="114"/>
      <c r="G156" s="114"/>
      <c r="H156" s="112"/>
      <c r="I156" s="112"/>
      <c r="J156" s="115"/>
      <c r="K156" s="115"/>
      <c r="L156" s="115"/>
      <c r="M156" s="116"/>
      <c r="N156" s="117">
        <f t="shared" si="5"/>
      </c>
      <c r="O156" s="118" t="str">
        <f t="shared" si="4"/>
        <v>-</v>
      </c>
      <c r="P156" s="118"/>
      <c r="Q156" s="118"/>
      <c r="R156" s="118"/>
      <c r="S156" s="118"/>
      <c r="T156" s="124"/>
    </row>
    <row r="157" spans="1:20" ht="27" customHeight="1">
      <c r="A157" s="88"/>
      <c r="B157" s="89"/>
      <c r="C157" s="112"/>
      <c r="D157" s="112"/>
      <c r="E157" s="113"/>
      <c r="F157" s="114"/>
      <c r="G157" s="114"/>
      <c r="H157" s="112"/>
      <c r="I157" s="112"/>
      <c r="J157" s="115"/>
      <c r="K157" s="115"/>
      <c r="L157" s="115"/>
      <c r="M157" s="116"/>
      <c r="N157" s="117">
        <f t="shared" si="5"/>
      </c>
      <c r="O157" s="118" t="str">
        <f t="shared" si="4"/>
        <v>-</v>
      </c>
      <c r="P157" s="118"/>
      <c r="Q157" s="118"/>
      <c r="R157" s="118"/>
      <c r="S157" s="118"/>
      <c r="T157" s="124"/>
    </row>
    <row r="158" spans="1:23" ht="27" customHeight="1">
      <c r="A158" s="88"/>
      <c r="B158" s="88"/>
      <c r="C158" s="112"/>
      <c r="D158" s="112"/>
      <c r="E158" s="113"/>
      <c r="F158" s="114"/>
      <c r="G158" s="114"/>
      <c r="H158" s="112"/>
      <c r="I158" s="112"/>
      <c r="J158" s="126"/>
      <c r="K158" s="115"/>
      <c r="L158" s="115"/>
      <c r="M158" s="116"/>
      <c r="N158" s="117">
        <f t="shared" si="5"/>
      </c>
      <c r="O158" s="118" t="str">
        <f t="shared" si="4"/>
        <v>-</v>
      </c>
      <c r="P158" s="118"/>
      <c r="Q158" s="118"/>
      <c r="R158" s="118"/>
      <c r="S158" s="118"/>
      <c r="T158" s="125"/>
      <c r="U158" s="118"/>
      <c r="V158" s="118"/>
      <c r="W158" s="118"/>
    </row>
    <row r="159" spans="1:20" ht="27" customHeight="1">
      <c r="A159" s="88"/>
      <c r="B159" s="89"/>
      <c r="C159" s="112"/>
      <c r="D159" s="112"/>
      <c r="E159" s="113"/>
      <c r="F159" s="114"/>
      <c r="G159" s="114"/>
      <c r="H159" s="112"/>
      <c r="I159" s="112"/>
      <c r="J159" s="126"/>
      <c r="K159" s="115"/>
      <c r="L159" s="115"/>
      <c r="M159" s="116"/>
      <c r="N159" s="117">
        <f t="shared" si="5"/>
      </c>
      <c r="O159" s="118" t="str">
        <f t="shared" si="4"/>
        <v>-</v>
      </c>
      <c r="P159" s="118"/>
      <c r="Q159" s="118"/>
      <c r="R159" s="118"/>
      <c r="S159" s="118"/>
      <c r="T159" s="118"/>
    </row>
    <row r="160" spans="1:20" ht="27" customHeight="1">
      <c r="A160" s="88"/>
      <c r="B160" s="89"/>
      <c r="C160" s="112"/>
      <c r="D160" s="112"/>
      <c r="E160" s="113"/>
      <c r="F160" s="114"/>
      <c r="G160" s="114"/>
      <c r="H160" s="112"/>
      <c r="I160" s="112"/>
      <c r="J160" s="126"/>
      <c r="K160" s="115"/>
      <c r="L160" s="115"/>
      <c r="M160" s="116"/>
      <c r="N160" s="117">
        <f t="shared" si="5"/>
      </c>
      <c r="O160" s="118" t="str">
        <f t="shared" si="4"/>
        <v>-</v>
      </c>
      <c r="P160" s="118"/>
      <c r="Q160" s="118"/>
      <c r="R160" s="118"/>
      <c r="S160" s="118"/>
      <c r="T160" s="118"/>
    </row>
    <row r="161" spans="1:20" ht="27" customHeight="1">
      <c r="A161" s="88"/>
      <c r="B161" s="89"/>
      <c r="C161" s="112"/>
      <c r="D161" s="112"/>
      <c r="E161" s="113"/>
      <c r="F161" s="114"/>
      <c r="G161" s="114"/>
      <c r="H161" s="112"/>
      <c r="I161" s="112"/>
      <c r="J161" s="115"/>
      <c r="K161" s="115"/>
      <c r="L161" s="115"/>
      <c r="M161" s="116"/>
      <c r="N161" s="117">
        <f t="shared" si="5"/>
      </c>
      <c r="O161" s="118" t="str">
        <f t="shared" si="4"/>
        <v>-</v>
      </c>
      <c r="P161" s="118"/>
      <c r="Q161" s="118"/>
      <c r="R161" s="118"/>
      <c r="S161" s="118"/>
      <c r="T161" s="118"/>
    </row>
    <row r="162" spans="1:20" ht="27" customHeight="1">
      <c r="A162" s="88"/>
      <c r="B162" s="89"/>
      <c r="C162" s="112"/>
      <c r="D162" s="112"/>
      <c r="E162" s="113"/>
      <c r="F162" s="114"/>
      <c r="G162" s="114"/>
      <c r="H162" s="112"/>
      <c r="I162" s="112"/>
      <c r="J162" s="115"/>
      <c r="K162" s="115"/>
      <c r="L162" s="115"/>
      <c r="M162" s="116"/>
      <c r="N162" s="117">
        <f t="shared" si="5"/>
      </c>
      <c r="O162" s="118" t="str">
        <f t="shared" si="4"/>
        <v>-</v>
      </c>
      <c r="P162" s="118"/>
      <c r="Q162" s="118"/>
      <c r="R162" s="118"/>
      <c r="S162" s="118"/>
      <c r="T162" s="118"/>
    </row>
    <row r="163" spans="1:20" ht="27" customHeight="1">
      <c r="A163" s="88"/>
      <c r="B163" s="89"/>
      <c r="C163" s="112"/>
      <c r="D163" s="112"/>
      <c r="E163" s="113"/>
      <c r="F163" s="114"/>
      <c r="G163" s="114"/>
      <c r="H163" s="112"/>
      <c r="I163" s="112"/>
      <c r="J163" s="115"/>
      <c r="K163" s="115"/>
      <c r="L163" s="115"/>
      <c r="M163" s="116"/>
      <c r="N163" s="117">
        <f t="shared" si="5"/>
      </c>
      <c r="O163" s="118" t="str">
        <f t="shared" si="4"/>
        <v>-</v>
      </c>
      <c r="P163" s="118"/>
      <c r="Q163" s="118"/>
      <c r="R163" s="118"/>
      <c r="S163" s="118"/>
      <c r="T163" s="118"/>
    </row>
    <row r="164" spans="1:20" ht="27" customHeight="1">
      <c r="A164" s="88"/>
      <c r="B164" s="89"/>
      <c r="C164" s="112"/>
      <c r="D164" s="112"/>
      <c r="E164" s="113"/>
      <c r="F164" s="114"/>
      <c r="G164" s="114"/>
      <c r="H164" s="112"/>
      <c r="I164" s="112"/>
      <c r="J164" s="115"/>
      <c r="K164" s="115"/>
      <c r="L164" s="115"/>
      <c r="M164" s="116"/>
      <c r="N164" s="117">
        <f t="shared" si="5"/>
      </c>
      <c r="O164" s="118" t="str">
        <f t="shared" si="4"/>
        <v>-</v>
      </c>
      <c r="P164" s="118"/>
      <c r="Q164" s="118"/>
      <c r="R164" s="118"/>
      <c r="S164" s="118"/>
      <c r="T164" s="118"/>
    </row>
    <row r="165" spans="1:20" ht="27" customHeight="1">
      <c r="A165" s="88"/>
      <c r="B165" s="89"/>
      <c r="C165" s="112"/>
      <c r="D165" s="112"/>
      <c r="E165" s="113"/>
      <c r="F165" s="114"/>
      <c r="G165" s="114"/>
      <c r="H165" s="112"/>
      <c r="I165" s="112"/>
      <c r="J165" s="115"/>
      <c r="K165" s="115"/>
      <c r="L165" s="115"/>
      <c r="M165" s="116"/>
      <c r="N165" s="117">
        <f t="shared" si="5"/>
      </c>
      <c r="O165" s="118" t="str">
        <f t="shared" si="4"/>
        <v>-</v>
      </c>
      <c r="P165" s="118"/>
      <c r="Q165" s="118"/>
      <c r="R165" s="118"/>
      <c r="S165" s="118"/>
      <c r="T165" s="118"/>
    </row>
    <row r="166" spans="1:20" ht="27" customHeight="1">
      <c r="A166" s="88"/>
      <c r="B166" s="89"/>
      <c r="C166" s="112"/>
      <c r="D166" s="112"/>
      <c r="E166" s="113"/>
      <c r="F166" s="114"/>
      <c r="G166" s="114"/>
      <c r="H166" s="112"/>
      <c r="I166" s="112"/>
      <c r="J166" s="115"/>
      <c r="K166" s="115"/>
      <c r="L166" s="115"/>
      <c r="M166" s="116"/>
      <c r="N166" s="117">
        <f t="shared" si="5"/>
      </c>
      <c r="O166" s="118" t="str">
        <f t="shared" si="4"/>
        <v>-</v>
      </c>
      <c r="P166" s="118"/>
      <c r="Q166" s="118"/>
      <c r="R166" s="118"/>
      <c r="S166" s="118"/>
      <c r="T166" s="118"/>
    </row>
    <row r="167" spans="1:20" ht="27" customHeight="1">
      <c r="A167" s="88"/>
      <c r="B167" s="89"/>
      <c r="C167" s="112"/>
      <c r="D167" s="112"/>
      <c r="E167" s="113"/>
      <c r="F167" s="114"/>
      <c r="G167" s="114"/>
      <c r="H167" s="112"/>
      <c r="I167" s="112"/>
      <c r="J167" s="115"/>
      <c r="K167" s="115"/>
      <c r="L167" s="115"/>
      <c r="M167" s="116"/>
      <c r="N167" s="117">
        <f t="shared" si="5"/>
      </c>
      <c r="O167" s="118" t="str">
        <f t="shared" si="4"/>
        <v>-</v>
      </c>
      <c r="P167" s="118"/>
      <c r="Q167" s="118"/>
      <c r="R167" s="118"/>
      <c r="S167" s="118"/>
      <c r="T167" s="118"/>
    </row>
    <row r="168" spans="1:20" ht="27" customHeight="1">
      <c r="A168" s="88"/>
      <c r="B168" s="89"/>
      <c r="C168" s="112"/>
      <c r="D168" s="112"/>
      <c r="E168" s="113"/>
      <c r="F168" s="114"/>
      <c r="G168" s="114"/>
      <c r="H168" s="112"/>
      <c r="I168" s="123"/>
      <c r="J168" s="115"/>
      <c r="K168" s="115"/>
      <c r="L168" s="115"/>
      <c r="M168" s="116"/>
      <c r="N168" s="117">
        <f t="shared" si="5"/>
      </c>
      <c r="O168" s="118" t="str">
        <f t="shared" si="4"/>
        <v>-</v>
      </c>
      <c r="P168" s="118"/>
      <c r="Q168" s="118"/>
      <c r="R168" s="118"/>
      <c r="S168" s="118"/>
      <c r="T168" s="118"/>
    </row>
    <row r="169" spans="1:20" ht="27" customHeight="1">
      <c r="A169" s="88"/>
      <c r="B169" s="89"/>
      <c r="C169" s="112"/>
      <c r="D169" s="112"/>
      <c r="E169" s="113"/>
      <c r="F169" s="114"/>
      <c r="G169" s="114"/>
      <c r="H169" s="112"/>
      <c r="I169" s="127"/>
      <c r="J169" s="128"/>
      <c r="K169" s="115"/>
      <c r="L169" s="115"/>
      <c r="M169" s="116"/>
      <c r="N169" s="117">
        <f t="shared" si="5"/>
      </c>
      <c r="O169" s="118" t="str">
        <f t="shared" si="4"/>
        <v>-</v>
      </c>
      <c r="P169" s="118"/>
      <c r="Q169" s="118"/>
      <c r="R169" s="118"/>
      <c r="S169" s="118"/>
      <c r="T169" s="118"/>
    </row>
    <row r="170" spans="1:20" ht="27" customHeight="1">
      <c r="A170" s="88"/>
      <c r="B170" s="89"/>
      <c r="C170" s="112"/>
      <c r="D170" s="112"/>
      <c r="E170" s="113"/>
      <c r="F170" s="114"/>
      <c r="G170" s="114"/>
      <c r="H170" s="112"/>
      <c r="I170" s="127"/>
      <c r="J170" s="128"/>
      <c r="K170" s="115"/>
      <c r="L170" s="115"/>
      <c r="M170" s="116"/>
      <c r="N170" s="117">
        <f t="shared" si="5"/>
      </c>
      <c r="O170" s="118" t="str">
        <f t="shared" si="4"/>
        <v>-</v>
      </c>
      <c r="P170" s="118"/>
      <c r="Q170" s="118"/>
      <c r="R170" s="118"/>
      <c r="S170" s="118"/>
      <c r="T170" s="118"/>
    </row>
    <row r="171" spans="1:20" ht="27" customHeight="1">
      <c r="A171" s="88"/>
      <c r="B171" s="89"/>
      <c r="C171" s="112"/>
      <c r="D171" s="112"/>
      <c r="E171" s="113"/>
      <c r="F171" s="114"/>
      <c r="G171" s="114"/>
      <c r="H171" s="112"/>
      <c r="I171" s="112"/>
      <c r="J171" s="122"/>
      <c r="K171" s="122"/>
      <c r="L171" s="122"/>
      <c r="M171" s="116"/>
      <c r="N171" s="117">
        <f t="shared" si="5"/>
      </c>
      <c r="O171" s="118" t="str">
        <f t="shared" si="4"/>
        <v>-</v>
      </c>
      <c r="P171" s="118"/>
      <c r="Q171" s="118"/>
      <c r="R171" s="118"/>
      <c r="S171" s="118"/>
      <c r="T171" s="118"/>
    </row>
    <row r="172" spans="1:20" ht="27" customHeight="1" thickBot="1">
      <c r="A172" s="88"/>
      <c r="B172" s="89"/>
      <c r="C172" s="112"/>
      <c r="D172" s="112"/>
      <c r="E172" s="113"/>
      <c r="F172" s="114"/>
      <c r="G172" s="114"/>
      <c r="H172" s="112"/>
      <c r="I172" s="112"/>
      <c r="J172" s="115"/>
      <c r="K172" s="115"/>
      <c r="L172" s="115"/>
      <c r="M172" s="116"/>
      <c r="N172" s="117">
        <f t="shared" si="5"/>
      </c>
      <c r="O172" s="118" t="str">
        <f t="shared" si="4"/>
        <v>-</v>
      </c>
      <c r="P172" s="118"/>
      <c r="Q172" s="118"/>
      <c r="R172" s="118"/>
      <c r="S172" s="118"/>
      <c r="T172" s="118"/>
    </row>
    <row r="173" spans="1:20" ht="27" customHeight="1" thickTop="1">
      <c r="A173" s="209" t="s">
        <v>61</v>
      </c>
      <c r="B173" s="210"/>
      <c r="C173" s="211"/>
      <c r="D173" s="138"/>
      <c r="E173" s="139">
        <f>SUM(E153:E172)</f>
        <v>0</v>
      </c>
      <c r="F173" s="140"/>
      <c r="G173" s="140"/>
      <c r="H173" s="138"/>
      <c r="I173" s="138"/>
      <c r="J173" s="141"/>
      <c r="K173" s="141"/>
      <c r="L173" s="141"/>
      <c r="M173" s="142"/>
      <c r="N173" s="117"/>
      <c r="O173" s="118"/>
      <c r="P173" s="119"/>
      <c r="Q173" s="118"/>
      <c r="R173" s="118"/>
      <c r="S173" s="118"/>
      <c r="T173" s="118"/>
    </row>
    <row r="174" spans="1:20" ht="27" customHeight="1">
      <c r="A174" s="88"/>
      <c r="B174" s="89"/>
      <c r="C174" s="112"/>
      <c r="D174" s="112"/>
      <c r="E174" s="113"/>
      <c r="F174" s="114"/>
      <c r="G174" s="114"/>
      <c r="H174" s="112"/>
      <c r="I174" s="112"/>
      <c r="J174" s="115"/>
      <c r="K174" s="115"/>
      <c r="L174" s="115"/>
      <c r="M174" s="116"/>
      <c r="N174" s="117">
        <f t="shared" si="5"/>
      </c>
      <c r="O174" s="118" t="str">
        <f t="shared" si="4"/>
        <v>-</v>
      </c>
      <c r="P174" s="118"/>
      <c r="Q174" s="118"/>
      <c r="R174" s="118"/>
      <c r="S174" s="118"/>
      <c r="T174" s="124"/>
    </row>
    <row r="175" spans="1:20" ht="27" customHeight="1">
      <c r="A175" s="88"/>
      <c r="B175" s="89"/>
      <c r="C175" s="112"/>
      <c r="D175" s="112"/>
      <c r="E175" s="113"/>
      <c r="F175" s="114"/>
      <c r="G175" s="114"/>
      <c r="H175" s="112"/>
      <c r="I175" s="127"/>
      <c r="J175" s="137"/>
      <c r="K175" s="122"/>
      <c r="L175" s="122"/>
      <c r="M175" s="116"/>
      <c r="N175" s="117">
        <f t="shared" si="5"/>
      </c>
      <c r="O175" s="118" t="str">
        <f t="shared" si="4"/>
        <v>-</v>
      </c>
      <c r="P175" s="118"/>
      <c r="Q175" s="118"/>
      <c r="R175" s="118"/>
      <c r="S175" s="118"/>
      <c r="T175" s="124"/>
    </row>
    <row r="176" spans="1:20" ht="27" customHeight="1">
      <c r="A176" s="88"/>
      <c r="B176" s="88"/>
      <c r="C176" s="112"/>
      <c r="D176" s="112"/>
      <c r="E176" s="113"/>
      <c r="F176" s="114"/>
      <c r="G176" s="114"/>
      <c r="H176" s="112"/>
      <c r="I176" s="112"/>
      <c r="J176" s="115"/>
      <c r="K176" s="115"/>
      <c r="L176" s="115"/>
      <c r="M176" s="116"/>
      <c r="N176" s="117">
        <f t="shared" si="5"/>
      </c>
      <c r="O176" s="118" t="str">
        <f t="shared" si="4"/>
        <v>-</v>
      </c>
      <c r="P176" s="118"/>
      <c r="Q176" s="118"/>
      <c r="R176" s="118"/>
      <c r="S176" s="118"/>
      <c r="T176" s="124"/>
    </row>
    <row r="177" spans="1:23" ht="27" customHeight="1">
      <c r="A177" s="88"/>
      <c r="B177" s="89"/>
      <c r="C177" s="112"/>
      <c r="D177" s="112"/>
      <c r="E177" s="113"/>
      <c r="F177" s="114"/>
      <c r="G177" s="114"/>
      <c r="H177" s="112"/>
      <c r="I177" s="112"/>
      <c r="J177" s="115"/>
      <c r="K177" s="115"/>
      <c r="L177" s="115"/>
      <c r="M177" s="116"/>
      <c r="N177" s="117"/>
      <c r="O177" s="118"/>
      <c r="P177" s="118"/>
      <c r="Q177" s="118"/>
      <c r="R177" s="118"/>
      <c r="S177" s="118"/>
      <c r="T177" s="125"/>
      <c r="U177" s="118"/>
      <c r="V177" s="118"/>
      <c r="W177" s="118"/>
    </row>
    <row r="178" spans="1:20" ht="27" customHeight="1">
      <c r="A178" s="88"/>
      <c r="B178" s="89"/>
      <c r="C178" s="112"/>
      <c r="D178" s="112"/>
      <c r="E178" s="113"/>
      <c r="F178" s="114"/>
      <c r="G178" s="114"/>
      <c r="H178" s="112"/>
      <c r="I178" s="112"/>
      <c r="J178" s="115"/>
      <c r="K178" s="115"/>
      <c r="L178" s="115"/>
      <c r="M178" s="116"/>
      <c r="N178" s="117"/>
      <c r="O178" s="118"/>
      <c r="P178" s="118"/>
      <c r="Q178" s="118"/>
      <c r="R178" s="118"/>
      <c r="S178" s="118"/>
      <c r="T178" s="118"/>
    </row>
    <row r="179" spans="1:20" ht="27" customHeight="1">
      <c r="A179" s="88"/>
      <c r="B179" s="89"/>
      <c r="C179" s="112"/>
      <c r="D179" s="112"/>
      <c r="E179" s="113"/>
      <c r="F179" s="114"/>
      <c r="G179" s="114"/>
      <c r="H179" s="112"/>
      <c r="I179" s="112"/>
      <c r="J179" s="115"/>
      <c r="K179" s="115"/>
      <c r="L179" s="115"/>
      <c r="M179" s="116"/>
      <c r="N179" s="117"/>
      <c r="O179" s="118"/>
      <c r="P179" s="118"/>
      <c r="Q179" s="118"/>
      <c r="R179" s="118"/>
      <c r="S179" s="118"/>
      <c r="T179" s="118"/>
    </row>
    <row r="180" spans="1:20" ht="27" customHeight="1">
      <c r="A180" s="88"/>
      <c r="B180" s="89"/>
      <c r="C180" s="112"/>
      <c r="D180" s="112"/>
      <c r="E180" s="113"/>
      <c r="F180" s="114"/>
      <c r="G180" s="114"/>
      <c r="H180" s="112"/>
      <c r="I180" s="112"/>
      <c r="J180" s="115"/>
      <c r="K180" s="115"/>
      <c r="L180" s="115"/>
      <c r="M180" s="116"/>
      <c r="N180" s="117"/>
      <c r="O180" s="118"/>
      <c r="P180" s="118"/>
      <c r="Q180" s="118"/>
      <c r="R180" s="118"/>
      <c r="S180" s="118"/>
      <c r="T180" s="118"/>
    </row>
    <row r="181" spans="1:20" ht="27" customHeight="1">
      <c r="A181" s="88"/>
      <c r="B181" s="89"/>
      <c r="C181" s="112"/>
      <c r="D181" s="112"/>
      <c r="E181" s="113"/>
      <c r="F181" s="114"/>
      <c r="G181" s="114"/>
      <c r="H181" s="112"/>
      <c r="I181" s="112"/>
      <c r="J181" s="115"/>
      <c r="K181" s="115"/>
      <c r="L181" s="115"/>
      <c r="M181" s="116"/>
      <c r="N181" s="117"/>
      <c r="O181" s="118"/>
      <c r="P181" s="118"/>
      <c r="Q181" s="118"/>
      <c r="R181" s="118"/>
      <c r="S181" s="118"/>
      <c r="T181" s="118"/>
    </row>
    <row r="182" spans="1:20" ht="27" customHeight="1">
      <c r="A182" s="88"/>
      <c r="B182" s="89"/>
      <c r="C182" s="112"/>
      <c r="D182" s="112"/>
      <c r="E182" s="113"/>
      <c r="F182" s="114"/>
      <c r="G182" s="114"/>
      <c r="H182" s="112"/>
      <c r="I182" s="112"/>
      <c r="J182" s="115"/>
      <c r="K182" s="115"/>
      <c r="L182" s="115"/>
      <c r="M182" s="116"/>
      <c r="N182" s="117"/>
      <c r="O182" s="118"/>
      <c r="P182" s="118"/>
      <c r="Q182" s="118"/>
      <c r="R182" s="118"/>
      <c r="S182" s="118"/>
      <c r="T182" s="118"/>
    </row>
    <row r="183" spans="1:20" ht="27" customHeight="1">
      <c r="A183" s="88"/>
      <c r="B183" s="89"/>
      <c r="C183" s="112"/>
      <c r="D183" s="112"/>
      <c r="E183" s="113"/>
      <c r="F183" s="114"/>
      <c r="G183" s="114"/>
      <c r="H183" s="112"/>
      <c r="I183" s="112"/>
      <c r="J183" s="115"/>
      <c r="K183" s="115"/>
      <c r="L183" s="115"/>
      <c r="M183" s="116"/>
      <c r="N183" s="117"/>
      <c r="O183" s="118"/>
      <c r="P183" s="118"/>
      <c r="Q183" s="118"/>
      <c r="R183" s="118"/>
      <c r="S183" s="118"/>
      <c r="T183" s="118"/>
    </row>
    <row r="184" spans="1:20" ht="27" customHeight="1">
      <c r="A184" s="88"/>
      <c r="B184" s="89"/>
      <c r="C184" s="112"/>
      <c r="D184" s="112"/>
      <c r="E184" s="113"/>
      <c r="F184" s="114"/>
      <c r="G184" s="114"/>
      <c r="H184" s="112"/>
      <c r="I184" s="112"/>
      <c r="J184" s="115"/>
      <c r="K184" s="115"/>
      <c r="L184" s="115"/>
      <c r="M184" s="116"/>
      <c r="N184" s="117"/>
      <c r="O184" s="118"/>
      <c r="P184" s="118"/>
      <c r="Q184" s="118"/>
      <c r="R184" s="118"/>
      <c r="S184" s="118"/>
      <c r="T184" s="118"/>
    </row>
    <row r="185" spans="1:20" ht="27" customHeight="1">
      <c r="A185" s="88"/>
      <c r="B185" s="89"/>
      <c r="C185" s="112"/>
      <c r="D185" s="112"/>
      <c r="E185" s="113"/>
      <c r="F185" s="114"/>
      <c r="G185" s="114"/>
      <c r="H185" s="112"/>
      <c r="I185" s="112"/>
      <c r="J185" s="115"/>
      <c r="K185" s="115"/>
      <c r="L185" s="115"/>
      <c r="M185" s="116"/>
      <c r="N185" s="117"/>
      <c r="O185" s="118"/>
      <c r="P185" s="118"/>
      <c r="Q185" s="118"/>
      <c r="R185" s="118"/>
      <c r="S185" s="118"/>
      <c r="T185" s="118"/>
    </row>
    <row r="186" spans="1:20" ht="27" customHeight="1">
      <c r="A186" s="88"/>
      <c r="B186" s="89"/>
      <c r="C186" s="112"/>
      <c r="D186" s="112"/>
      <c r="E186" s="113"/>
      <c r="F186" s="114"/>
      <c r="G186" s="114"/>
      <c r="H186" s="112"/>
      <c r="I186" s="112"/>
      <c r="J186" s="115"/>
      <c r="K186" s="115"/>
      <c r="L186" s="115"/>
      <c r="M186" s="116"/>
      <c r="N186" s="117"/>
      <c r="O186" s="118"/>
      <c r="P186" s="118"/>
      <c r="Q186" s="118"/>
      <c r="R186" s="118"/>
      <c r="S186" s="118"/>
      <c r="T186" s="118"/>
    </row>
    <row r="187" spans="1:20" ht="27" customHeight="1">
      <c r="A187" s="88"/>
      <c r="B187" s="89"/>
      <c r="C187" s="112"/>
      <c r="D187" s="112"/>
      <c r="E187" s="113"/>
      <c r="F187" s="114"/>
      <c r="G187" s="114"/>
      <c r="H187" s="112"/>
      <c r="I187" s="112"/>
      <c r="J187" s="115"/>
      <c r="K187" s="115"/>
      <c r="L187" s="115"/>
      <c r="M187" s="116"/>
      <c r="N187" s="117"/>
      <c r="O187" s="118"/>
      <c r="P187" s="118"/>
      <c r="Q187" s="118"/>
      <c r="R187" s="118"/>
      <c r="S187" s="118"/>
      <c r="T187" s="118"/>
    </row>
    <row r="188" spans="1:20" ht="27" customHeight="1">
      <c r="A188" s="88"/>
      <c r="B188" s="89"/>
      <c r="C188" s="112"/>
      <c r="D188" s="112"/>
      <c r="E188" s="113"/>
      <c r="F188" s="114"/>
      <c r="G188" s="114"/>
      <c r="H188" s="112"/>
      <c r="I188" s="112"/>
      <c r="J188" s="115"/>
      <c r="K188" s="115"/>
      <c r="L188" s="115"/>
      <c r="M188" s="116"/>
      <c r="N188" s="117"/>
      <c r="O188" s="118"/>
      <c r="P188" s="118"/>
      <c r="Q188" s="118"/>
      <c r="R188" s="118"/>
      <c r="S188" s="118"/>
      <c r="T188" s="118"/>
    </row>
    <row r="189" spans="1:20" ht="27" customHeight="1">
      <c r="A189" s="88"/>
      <c r="B189" s="89"/>
      <c r="C189" s="112"/>
      <c r="D189" s="112"/>
      <c r="E189" s="113"/>
      <c r="F189" s="114"/>
      <c r="G189" s="114"/>
      <c r="H189" s="112"/>
      <c r="I189" s="112"/>
      <c r="J189" s="115"/>
      <c r="K189" s="115"/>
      <c r="L189" s="115"/>
      <c r="M189" s="116"/>
      <c r="N189" s="117"/>
      <c r="O189" s="118"/>
      <c r="P189" s="118"/>
      <c r="Q189" s="118"/>
      <c r="R189" s="118"/>
      <c r="S189" s="118"/>
      <c r="T189" s="118"/>
    </row>
    <row r="190" spans="1:20" ht="27" customHeight="1">
      <c r="A190" s="88"/>
      <c r="B190" s="89"/>
      <c r="C190" s="112"/>
      <c r="D190" s="112"/>
      <c r="E190" s="113"/>
      <c r="F190" s="114"/>
      <c r="G190" s="114"/>
      <c r="H190" s="112"/>
      <c r="I190" s="112"/>
      <c r="J190" s="115"/>
      <c r="K190" s="115"/>
      <c r="L190" s="115"/>
      <c r="M190" s="116"/>
      <c r="N190" s="117"/>
      <c r="O190" s="118"/>
      <c r="P190" s="118"/>
      <c r="Q190" s="118"/>
      <c r="R190" s="118"/>
      <c r="S190" s="118"/>
      <c r="T190" s="118"/>
    </row>
    <row r="191" spans="1:20" ht="27" customHeight="1">
      <c r="A191" s="88"/>
      <c r="B191" s="89"/>
      <c r="C191" s="112"/>
      <c r="D191" s="112"/>
      <c r="E191" s="113"/>
      <c r="F191" s="114"/>
      <c r="G191" s="114"/>
      <c r="H191" s="112"/>
      <c r="I191" s="112"/>
      <c r="J191" s="115"/>
      <c r="K191" s="115"/>
      <c r="L191" s="115"/>
      <c r="M191" s="116"/>
      <c r="N191" s="117"/>
      <c r="O191" s="118"/>
      <c r="P191" s="118"/>
      <c r="Q191" s="118"/>
      <c r="R191" s="118"/>
      <c r="S191" s="118"/>
      <c r="T191" s="118"/>
    </row>
    <row r="192" spans="1:20" ht="27" customHeight="1" thickBot="1">
      <c r="A192" s="88"/>
      <c r="B192" s="89"/>
      <c r="C192" s="112"/>
      <c r="D192" s="112"/>
      <c r="E192" s="113"/>
      <c r="F192" s="114"/>
      <c r="G192" s="114"/>
      <c r="H192" s="112"/>
      <c r="I192" s="112"/>
      <c r="J192" s="115"/>
      <c r="K192" s="115"/>
      <c r="L192" s="115"/>
      <c r="M192" s="116"/>
      <c r="N192" s="117"/>
      <c r="O192" s="118"/>
      <c r="P192" s="118"/>
      <c r="Q192" s="118"/>
      <c r="R192" s="118"/>
      <c r="S192" s="118"/>
      <c r="T192" s="118"/>
    </row>
    <row r="193" spans="1:20" ht="27" customHeight="1" thickBot="1" thickTop="1">
      <c r="A193" s="209" t="s">
        <v>61</v>
      </c>
      <c r="B193" s="210"/>
      <c r="C193" s="211"/>
      <c r="D193" s="138"/>
      <c r="E193" s="139">
        <f>SUM(E174:E192)</f>
        <v>0</v>
      </c>
      <c r="F193" s="140"/>
      <c r="G193" s="140"/>
      <c r="H193" s="138"/>
      <c r="I193" s="138"/>
      <c r="J193" s="141"/>
      <c r="K193" s="141"/>
      <c r="L193" s="141"/>
      <c r="M193" s="142"/>
      <c r="N193" s="117"/>
      <c r="O193" s="118"/>
      <c r="P193" s="119"/>
      <c r="Q193" s="118"/>
      <c r="R193" s="118"/>
      <c r="S193" s="118"/>
      <c r="T193" s="118"/>
    </row>
    <row r="194" spans="1:20" ht="27" customHeight="1" thickTop="1">
      <c r="A194" s="209" t="s">
        <v>62</v>
      </c>
      <c r="B194" s="210"/>
      <c r="C194" s="211"/>
      <c r="D194" s="138"/>
      <c r="E194" s="139">
        <f>E193+E173+E152+E131+E110+E89+E68+E47+E26</f>
        <v>11639</v>
      </c>
      <c r="F194" s="140"/>
      <c r="G194" s="140"/>
      <c r="H194" s="138"/>
      <c r="I194" s="138"/>
      <c r="J194" s="141"/>
      <c r="K194" s="141"/>
      <c r="L194" s="141"/>
      <c r="M194" s="142"/>
      <c r="N194" s="117">
        <f t="shared" si="5"/>
      </c>
      <c r="O194" s="118"/>
      <c r="P194" s="118"/>
      <c r="Q194" s="118"/>
      <c r="R194" s="118"/>
      <c r="S194" s="118"/>
      <c r="T194" s="118"/>
    </row>
  </sheetData>
  <sheetProtection/>
  <mergeCells count="15">
    <mergeCell ref="A193:C193"/>
    <mergeCell ref="A194:C194"/>
    <mergeCell ref="A110:C110"/>
    <mergeCell ref="A131:C131"/>
    <mergeCell ref="A152:C152"/>
    <mergeCell ref="A173:C173"/>
    <mergeCell ref="A47:C47"/>
    <mergeCell ref="A68:C68"/>
    <mergeCell ref="A89:C89"/>
    <mergeCell ref="K2:M2"/>
    <mergeCell ref="B4:B5"/>
    <mergeCell ref="C4:C5"/>
    <mergeCell ref="H4:I4"/>
    <mergeCell ref="M4:M5"/>
    <mergeCell ref="A26:C26"/>
  </mergeCells>
  <printOptions horizontalCentered="1" verticalCentered="1"/>
  <pageMargins left="0.17" right="0.16" top="1.1811023622047245" bottom="0.77" header="0.5905511811023623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7"/>
  <sheetViews>
    <sheetView showGridLines="0" showZeros="0" view="pageBreakPreview" zoomScaleSheetLayoutView="100" zoomScalePageLayoutView="0" workbookViewId="0" topLeftCell="A1">
      <selection activeCell="A1" sqref="A1:M1"/>
    </sheetView>
  </sheetViews>
  <sheetFormatPr defaultColWidth="8.88671875" defaultRowHeight="13.5"/>
  <cols>
    <col min="1" max="1" width="3.88671875" style="53" customWidth="1"/>
    <col min="2" max="2" width="7.77734375" style="69" customWidth="1"/>
    <col min="3" max="3" width="3.77734375" style="53" customWidth="1"/>
    <col min="4" max="4" width="7.77734375" style="53" customWidth="1"/>
    <col min="5" max="5" width="6.77734375" style="78" customWidth="1"/>
    <col min="6" max="7" width="4.77734375" style="53" customWidth="1"/>
    <col min="8" max="8" width="5.99609375" style="76" customWidth="1"/>
    <col min="9" max="9" width="12.21484375" style="76" customWidth="1"/>
    <col min="10" max="10" width="6.21484375" style="76" customWidth="1"/>
    <col min="11" max="11" width="11.6640625" style="76" customWidth="1"/>
    <col min="12" max="12" width="6.77734375" style="76" customWidth="1"/>
    <col min="13" max="13" width="4.77734375" style="53" customWidth="1"/>
    <col min="14" max="14" width="17.5546875" style="70" hidden="1" customWidth="1"/>
    <col min="15" max="16" width="9.77734375" style="53" hidden="1" customWidth="1"/>
    <col min="17" max="17" width="1.5625" style="53" hidden="1" customWidth="1"/>
    <col min="18" max="18" width="9.77734375" style="53" hidden="1" customWidth="1"/>
    <col min="19" max="19" width="10.77734375" style="53" customWidth="1"/>
    <col min="20" max="16384" width="8.88671875" style="53" customWidth="1"/>
  </cols>
  <sheetData>
    <row r="1" spans="1:19" ht="30" customHeight="1">
      <c r="A1" s="217" t="s">
        <v>60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51"/>
      <c r="O1" s="52"/>
      <c r="P1" s="52"/>
      <c r="Q1" s="52"/>
      <c r="R1" s="52"/>
      <c r="S1" s="52"/>
    </row>
    <row r="2" spans="1:19" ht="19.5" customHeight="1">
      <c r="A2" s="52"/>
      <c r="B2" s="73"/>
      <c r="C2" s="52"/>
      <c r="D2" s="52"/>
      <c r="E2" s="79"/>
      <c r="F2" s="52"/>
      <c r="G2" s="52"/>
      <c r="H2" s="74"/>
      <c r="I2" s="74"/>
      <c r="J2" s="75"/>
      <c r="K2" s="218" t="s">
        <v>74</v>
      </c>
      <c r="L2" s="218"/>
      <c r="M2" s="218"/>
      <c r="N2" s="57"/>
      <c r="O2" s="52"/>
      <c r="P2" s="52"/>
      <c r="Q2" s="52"/>
      <c r="R2" s="52"/>
      <c r="S2" s="52"/>
    </row>
    <row r="3" spans="1:19" ht="8.25" customHeight="1">
      <c r="A3" s="52"/>
      <c r="B3" s="73"/>
      <c r="C3" s="52"/>
      <c r="D3" s="52"/>
      <c r="E3" s="79"/>
      <c r="F3" s="52"/>
      <c r="G3" s="52"/>
      <c r="H3" s="74"/>
      <c r="I3" s="74"/>
      <c r="J3" s="74"/>
      <c r="K3" s="74"/>
      <c r="L3" s="74"/>
      <c r="M3" s="52"/>
      <c r="N3" s="54"/>
      <c r="O3" s="52"/>
      <c r="P3" s="52"/>
      <c r="Q3" s="52"/>
      <c r="R3" s="52"/>
      <c r="S3" s="52"/>
    </row>
    <row r="4" spans="1:19" s="60" customFormat="1" ht="27" customHeight="1">
      <c r="A4" s="143" t="s">
        <v>24</v>
      </c>
      <c r="B4" s="213" t="s">
        <v>25</v>
      </c>
      <c r="C4" s="214" t="s">
        <v>26</v>
      </c>
      <c r="D4" s="145" t="s">
        <v>27</v>
      </c>
      <c r="E4" s="146" t="s">
        <v>28</v>
      </c>
      <c r="F4" s="102" t="s">
        <v>29</v>
      </c>
      <c r="G4" s="102"/>
      <c r="H4" s="214" t="s">
        <v>30</v>
      </c>
      <c r="I4" s="214"/>
      <c r="J4" s="103" t="s">
        <v>31</v>
      </c>
      <c r="K4" s="102"/>
      <c r="L4" s="102"/>
      <c r="M4" s="215" t="s">
        <v>21</v>
      </c>
      <c r="N4" s="58"/>
      <c r="O4" s="59"/>
      <c r="P4" s="59"/>
      <c r="Q4" s="59"/>
      <c r="R4" s="59"/>
      <c r="S4" s="59"/>
    </row>
    <row r="5" spans="1:19" s="60" customFormat="1" ht="27" customHeight="1">
      <c r="A5" s="144" t="s">
        <v>32</v>
      </c>
      <c r="B5" s="213"/>
      <c r="C5" s="214"/>
      <c r="D5" s="147" t="s">
        <v>53</v>
      </c>
      <c r="E5" s="147" t="s">
        <v>72</v>
      </c>
      <c r="F5" s="132" t="s">
        <v>26</v>
      </c>
      <c r="G5" s="133" t="s">
        <v>33</v>
      </c>
      <c r="H5" s="133" t="s">
        <v>34</v>
      </c>
      <c r="I5" s="132" t="s">
        <v>35</v>
      </c>
      <c r="J5" s="133" t="s">
        <v>34</v>
      </c>
      <c r="K5" s="133" t="s">
        <v>35</v>
      </c>
      <c r="L5" s="132" t="s">
        <v>36</v>
      </c>
      <c r="M5" s="215"/>
      <c r="N5" s="61"/>
      <c r="O5" s="62"/>
      <c r="P5" s="63" t="s">
        <v>59</v>
      </c>
      <c r="Q5" s="63"/>
      <c r="R5" s="63"/>
      <c r="S5" s="64"/>
    </row>
    <row r="6" spans="1:19" ht="27" customHeight="1">
      <c r="A6" s="190">
        <v>1</v>
      </c>
      <c r="B6" s="190" t="s">
        <v>97</v>
      </c>
      <c r="C6" s="190" t="s">
        <v>6</v>
      </c>
      <c r="D6" s="191">
        <v>118</v>
      </c>
      <c r="E6" s="191">
        <v>118</v>
      </c>
      <c r="F6" s="83"/>
      <c r="G6" s="83"/>
      <c r="H6" s="82" t="s">
        <v>533</v>
      </c>
      <c r="I6" s="82" t="s">
        <v>316</v>
      </c>
      <c r="J6" s="84"/>
      <c r="K6" s="194"/>
      <c r="L6" s="84"/>
      <c r="M6" s="85"/>
      <c r="N6" s="117" t="str">
        <f>CONCATENATE(C6,H6)</f>
        <v>전공</v>
      </c>
      <c r="O6" s="66" t="str">
        <f>IF(D6&gt;=E6,"-","ERR")</f>
        <v>-</v>
      </c>
      <c r="P6" s="71" t="e">
        <f>VLOOKUP($B6,#REF!,6,FALSE)</f>
        <v>#REF!</v>
      </c>
      <c r="Q6" s="72"/>
      <c r="R6" s="66">
        <f aca="true" t="shared" si="0" ref="R6:R72">IF(C6=Q6,0,2)</f>
        <v>2</v>
      </c>
      <c r="S6" s="66"/>
    </row>
    <row r="7" spans="1:19" ht="27" customHeight="1">
      <c r="A7" s="190">
        <v>2</v>
      </c>
      <c r="B7" s="190" t="s">
        <v>98</v>
      </c>
      <c r="C7" s="190" t="s">
        <v>67</v>
      </c>
      <c r="D7" s="191">
        <v>109</v>
      </c>
      <c r="E7" s="191">
        <v>109</v>
      </c>
      <c r="F7" s="83"/>
      <c r="G7" s="83"/>
      <c r="H7" s="82" t="s">
        <v>310</v>
      </c>
      <c r="I7" s="82" t="s">
        <v>311</v>
      </c>
      <c r="J7" s="84"/>
      <c r="K7" s="194"/>
      <c r="L7" s="84"/>
      <c r="M7" s="85"/>
      <c r="N7" s="117" t="str">
        <f aca="true" t="shared" si="1" ref="N7:N70">CONCATENATE(C7,H7)</f>
        <v>임국</v>
      </c>
      <c r="O7" s="66" t="str">
        <f aca="true" t="shared" si="2" ref="O7:O73">IF(D7&gt;=E7,"-","ERR")</f>
        <v>-</v>
      </c>
      <c r="P7" s="71" t="e">
        <f>VLOOKUP($B7,#REF!,6,FALSE)</f>
        <v>#REF!</v>
      </c>
      <c r="Q7" s="72"/>
      <c r="R7" s="66">
        <f t="shared" si="0"/>
        <v>2</v>
      </c>
      <c r="S7" s="66"/>
    </row>
    <row r="8" spans="1:19" ht="27" customHeight="1">
      <c r="A8" s="190">
        <v>3</v>
      </c>
      <c r="B8" s="190">
        <v>598</v>
      </c>
      <c r="C8" s="190" t="s">
        <v>99</v>
      </c>
      <c r="D8" s="191">
        <v>275</v>
      </c>
      <c r="E8" s="191">
        <v>122</v>
      </c>
      <c r="F8" s="83"/>
      <c r="G8" s="83"/>
      <c r="H8" s="82" t="s">
        <v>399</v>
      </c>
      <c r="I8" s="82" t="s">
        <v>400</v>
      </c>
      <c r="J8" s="84"/>
      <c r="K8" s="194"/>
      <c r="L8" s="84"/>
      <c r="M8" s="85"/>
      <c r="N8" s="117" t="str">
        <f t="shared" si="1"/>
        <v>대정태환</v>
      </c>
      <c r="O8" s="66" t="str">
        <f t="shared" si="2"/>
        <v>-</v>
      </c>
      <c r="P8" s="71" t="e">
        <f>VLOOKUP($B8,#REF!,6,FALSE)</f>
        <v>#REF!</v>
      </c>
      <c r="Q8" s="72"/>
      <c r="R8" s="66">
        <f t="shared" si="0"/>
        <v>2</v>
      </c>
      <c r="S8" s="66"/>
    </row>
    <row r="9" spans="1:19" ht="27" customHeight="1">
      <c r="A9" s="190">
        <v>4</v>
      </c>
      <c r="B9" s="190" t="s">
        <v>100</v>
      </c>
      <c r="C9" s="190" t="s">
        <v>99</v>
      </c>
      <c r="D9" s="191">
        <v>125</v>
      </c>
      <c r="E9" s="191">
        <v>125</v>
      </c>
      <c r="F9" s="83"/>
      <c r="G9" s="83"/>
      <c r="H9" s="82" t="s">
        <v>533</v>
      </c>
      <c r="I9" s="82" t="s">
        <v>316</v>
      </c>
      <c r="J9" s="84"/>
      <c r="K9" s="194"/>
      <c r="L9" s="84"/>
      <c r="M9" s="85"/>
      <c r="N9" s="117" t="str">
        <f t="shared" si="1"/>
        <v>대공</v>
      </c>
      <c r="O9" s="66" t="str">
        <f t="shared" si="2"/>
        <v>-</v>
      </c>
      <c r="P9" s="71" t="e">
        <f>VLOOKUP($B9,#REF!,6,FALSE)</f>
        <v>#REF!</v>
      </c>
      <c r="Q9" s="72"/>
      <c r="R9" s="66">
        <f t="shared" si="0"/>
        <v>2</v>
      </c>
      <c r="S9" s="66"/>
    </row>
    <row r="10" spans="1:19" ht="27" customHeight="1">
      <c r="A10" s="190">
        <v>5</v>
      </c>
      <c r="B10" s="190" t="s">
        <v>101</v>
      </c>
      <c r="C10" s="190" t="s">
        <v>99</v>
      </c>
      <c r="D10" s="191">
        <v>456</v>
      </c>
      <c r="E10" s="191">
        <v>456</v>
      </c>
      <c r="F10" s="83"/>
      <c r="G10" s="83"/>
      <c r="H10" s="82" t="s">
        <v>426</v>
      </c>
      <c r="I10" s="82" t="s">
        <v>427</v>
      </c>
      <c r="J10" s="84"/>
      <c r="K10" s="194"/>
      <c r="L10" s="84"/>
      <c r="M10" s="85"/>
      <c r="N10" s="117" t="str">
        <f t="shared" si="1"/>
        <v>대이남호</v>
      </c>
      <c r="O10" s="66" t="str">
        <f t="shared" si="2"/>
        <v>-</v>
      </c>
      <c r="P10" s="71" t="e">
        <f>VLOOKUP($B10,#REF!,6,FALSE)</f>
        <v>#REF!</v>
      </c>
      <c r="Q10" s="72"/>
      <c r="R10" s="66">
        <f t="shared" si="0"/>
        <v>2</v>
      </c>
      <c r="S10" s="66"/>
    </row>
    <row r="11" spans="1:19" ht="27" customHeight="1">
      <c r="A11" s="190">
        <v>6</v>
      </c>
      <c r="B11" s="190" t="s">
        <v>102</v>
      </c>
      <c r="C11" s="190" t="s">
        <v>67</v>
      </c>
      <c r="D11" s="191">
        <v>421</v>
      </c>
      <c r="E11" s="191">
        <v>421</v>
      </c>
      <c r="F11" s="83"/>
      <c r="G11" s="83"/>
      <c r="H11" s="82" t="s">
        <v>310</v>
      </c>
      <c r="I11" s="82" t="s">
        <v>311</v>
      </c>
      <c r="J11" s="84"/>
      <c r="K11" s="194"/>
      <c r="L11" s="84"/>
      <c r="M11" s="85"/>
      <c r="N11" s="117" t="str">
        <f t="shared" si="1"/>
        <v>임국</v>
      </c>
      <c r="O11" s="66" t="str">
        <f t="shared" si="2"/>
        <v>-</v>
      </c>
      <c r="P11" s="71" t="e">
        <f>VLOOKUP($B11,#REF!,6,FALSE)</f>
        <v>#REF!</v>
      </c>
      <c r="Q11" s="72"/>
      <c r="R11" s="66">
        <f t="shared" si="0"/>
        <v>2</v>
      </c>
      <c r="S11" s="66"/>
    </row>
    <row r="12" spans="1:19" ht="27" customHeight="1">
      <c r="A12" s="190">
        <v>7</v>
      </c>
      <c r="B12" s="190" t="s">
        <v>103</v>
      </c>
      <c r="C12" s="190" t="s">
        <v>67</v>
      </c>
      <c r="D12" s="191">
        <v>88342</v>
      </c>
      <c r="E12" s="191">
        <v>3659</v>
      </c>
      <c r="F12" s="83"/>
      <c r="G12" s="83"/>
      <c r="H12" s="82" t="s">
        <v>310</v>
      </c>
      <c r="I12" s="82" t="s">
        <v>311</v>
      </c>
      <c r="J12" s="84"/>
      <c r="K12" s="194"/>
      <c r="L12" s="84"/>
      <c r="M12" s="85"/>
      <c r="N12" s="117" t="str">
        <f t="shared" si="1"/>
        <v>임국</v>
      </c>
      <c r="O12" s="66" t="str">
        <f t="shared" si="2"/>
        <v>-</v>
      </c>
      <c r="P12" s="71" t="e">
        <f>VLOOKUP($B12,#REF!,6,FALSE)</f>
        <v>#REF!</v>
      </c>
      <c r="Q12" s="72"/>
      <c r="R12" s="66">
        <f t="shared" si="0"/>
        <v>2</v>
      </c>
      <c r="S12" s="66"/>
    </row>
    <row r="13" spans="1:19" ht="27" customHeight="1">
      <c r="A13" s="190">
        <v>8</v>
      </c>
      <c r="B13" s="190" t="s">
        <v>104</v>
      </c>
      <c r="C13" s="190" t="s">
        <v>99</v>
      </c>
      <c r="D13" s="191">
        <v>162</v>
      </c>
      <c r="E13" s="191">
        <v>162</v>
      </c>
      <c r="F13" s="83"/>
      <c r="G13" s="83"/>
      <c r="H13" s="82" t="s">
        <v>533</v>
      </c>
      <c r="I13" s="82" t="s">
        <v>316</v>
      </c>
      <c r="J13" s="84"/>
      <c r="K13" s="194"/>
      <c r="L13" s="84"/>
      <c r="M13" s="189"/>
      <c r="N13" s="117" t="str">
        <f t="shared" si="1"/>
        <v>대공</v>
      </c>
      <c r="O13" s="66" t="str">
        <f t="shared" si="2"/>
        <v>-</v>
      </c>
      <c r="P13" s="71" t="e">
        <f>VLOOKUP($B13,#REF!,6,FALSE)</f>
        <v>#REF!</v>
      </c>
      <c r="Q13" s="72"/>
      <c r="R13" s="66">
        <f t="shared" si="0"/>
        <v>2</v>
      </c>
      <c r="S13" s="66"/>
    </row>
    <row r="14" spans="1:19" ht="27" customHeight="1">
      <c r="A14" s="190">
        <v>9</v>
      </c>
      <c r="B14" s="190" t="s">
        <v>105</v>
      </c>
      <c r="C14" s="190" t="s">
        <v>6</v>
      </c>
      <c r="D14" s="191">
        <v>60</v>
      </c>
      <c r="E14" s="191">
        <v>60</v>
      </c>
      <c r="F14" s="83"/>
      <c r="G14" s="83"/>
      <c r="H14" s="82" t="s">
        <v>533</v>
      </c>
      <c r="I14" s="82" t="s">
        <v>316</v>
      </c>
      <c r="J14" s="84"/>
      <c r="K14" s="194"/>
      <c r="L14" s="84"/>
      <c r="M14" s="85"/>
      <c r="N14" s="117" t="str">
        <f t="shared" si="1"/>
        <v>전공</v>
      </c>
      <c r="O14" s="66" t="str">
        <f t="shared" si="2"/>
        <v>-</v>
      </c>
      <c r="P14" s="71" t="e">
        <f>VLOOKUP($B14,#REF!,6,FALSE)</f>
        <v>#REF!</v>
      </c>
      <c r="Q14" s="72"/>
      <c r="R14" s="66">
        <f t="shared" si="0"/>
        <v>2</v>
      </c>
      <c r="S14" s="66"/>
    </row>
    <row r="15" spans="1:19" ht="27" customHeight="1">
      <c r="A15" s="190">
        <v>10</v>
      </c>
      <c r="B15" s="190" t="s">
        <v>106</v>
      </c>
      <c r="C15" s="190" t="s">
        <v>99</v>
      </c>
      <c r="D15" s="191">
        <v>121</v>
      </c>
      <c r="E15" s="191">
        <v>121</v>
      </c>
      <c r="F15" s="83"/>
      <c r="G15" s="83"/>
      <c r="H15" s="82" t="s">
        <v>424</v>
      </c>
      <c r="I15" s="82" t="s">
        <v>425</v>
      </c>
      <c r="J15" s="84"/>
      <c r="K15" s="194"/>
      <c r="L15" s="84"/>
      <c r="M15" s="85"/>
      <c r="N15" s="117" t="str">
        <f t="shared" si="1"/>
        <v>대손영목</v>
      </c>
      <c r="O15" s="66" t="str">
        <f t="shared" si="2"/>
        <v>-</v>
      </c>
      <c r="P15" s="71" t="e">
        <f>VLOOKUP($B15,#REF!,6,FALSE)</f>
        <v>#REF!</v>
      </c>
      <c r="Q15" s="72"/>
      <c r="R15" s="66">
        <f t="shared" si="0"/>
        <v>2</v>
      </c>
      <c r="S15" s="66"/>
    </row>
    <row r="16" spans="1:19" ht="27" customHeight="1">
      <c r="A16" s="190">
        <v>11</v>
      </c>
      <c r="B16" s="190" t="s">
        <v>107</v>
      </c>
      <c r="C16" s="190" t="s">
        <v>6</v>
      </c>
      <c r="D16" s="191">
        <v>180</v>
      </c>
      <c r="E16" s="191">
        <v>180</v>
      </c>
      <c r="F16" s="83"/>
      <c r="G16" s="83"/>
      <c r="H16" s="82" t="s">
        <v>422</v>
      </c>
      <c r="I16" s="82" t="s">
        <v>423</v>
      </c>
      <c r="J16" s="84"/>
      <c r="K16" s="194"/>
      <c r="L16" s="84"/>
      <c r="M16" s="85" t="s">
        <v>575</v>
      </c>
      <c r="N16" s="117" t="str">
        <f t="shared" si="1"/>
        <v>전이상근</v>
      </c>
      <c r="O16" s="66" t="str">
        <f t="shared" si="2"/>
        <v>-</v>
      </c>
      <c r="P16" s="71" t="e">
        <f>VLOOKUP($B16,#REF!,6,FALSE)</f>
        <v>#REF!</v>
      </c>
      <c r="Q16" s="72"/>
      <c r="R16" s="66">
        <f t="shared" si="0"/>
        <v>2</v>
      </c>
      <c r="S16" s="67"/>
    </row>
    <row r="17" spans="1:19" ht="27" customHeight="1">
      <c r="A17" s="190">
        <v>12</v>
      </c>
      <c r="B17" s="190" t="s">
        <v>108</v>
      </c>
      <c r="C17" s="190" t="s">
        <v>6</v>
      </c>
      <c r="D17" s="191">
        <v>248</v>
      </c>
      <c r="E17" s="191">
        <v>248</v>
      </c>
      <c r="F17" s="83"/>
      <c r="G17" s="83"/>
      <c r="H17" s="82" t="s">
        <v>397</v>
      </c>
      <c r="I17" s="157" t="s">
        <v>398</v>
      </c>
      <c r="J17" s="84"/>
      <c r="K17" s="194"/>
      <c r="L17" s="84"/>
      <c r="M17" s="85"/>
      <c r="N17" s="117" t="str">
        <f t="shared" si="1"/>
        <v>전손호목외 1인</v>
      </c>
      <c r="O17" s="66" t="str">
        <f t="shared" si="2"/>
        <v>-</v>
      </c>
      <c r="P17" s="71" t="e">
        <f>VLOOKUP($B17,#REF!,6,FALSE)</f>
        <v>#REF!</v>
      </c>
      <c r="Q17" s="72"/>
      <c r="R17" s="66">
        <f t="shared" si="0"/>
        <v>2</v>
      </c>
      <c r="S17" s="67"/>
    </row>
    <row r="18" spans="1:19" ht="27" customHeight="1">
      <c r="A18" s="190">
        <v>13</v>
      </c>
      <c r="B18" s="190" t="s">
        <v>109</v>
      </c>
      <c r="C18" s="190" t="s">
        <v>110</v>
      </c>
      <c r="D18" s="191">
        <v>33</v>
      </c>
      <c r="E18" s="191">
        <v>33</v>
      </c>
      <c r="F18" s="83"/>
      <c r="G18" s="83"/>
      <c r="H18" s="82" t="s">
        <v>503</v>
      </c>
      <c r="I18" s="82" t="s">
        <v>504</v>
      </c>
      <c r="J18" s="84" t="s">
        <v>551</v>
      </c>
      <c r="K18" s="194" t="s">
        <v>552</v>
      </c>
      <c r="L18" s="84" t="s">
        <v>542</v>
      </c>
      <c r="M18" s="85"/>
      <c r="N18" s="117" t="str">
        <f t="shared" si="1"/>
        <v>목김경수 외 1인</v>
      </c>
      <c r="O18" s="66" t="str">
        <f t="shared" si="2"/>
        <v>-</v>
      </c>
      <c r="P18" s="71" t="e">
        <f>VLOOKUP($B18,#REF!,6,FALSE)</f>
        <v>#REF!</v>
      </c>
      <c r="Q18" s="72"/>
      <c r="R18" s="66">
        <f t="shared" si="0"/>
        <v>2</v>
      </c>
      <c r="S18" s="67"/>
    </row>
    <row r="19" spans="1:19" ht="27" customHeight="1">
      <c r="A19" s="190">
        <v>14</v>
      </c>
      <c r="B19" s="190" t="s">
        <v>111</v>
      </c>
      <c r="C19" s="190" t="s">
        <v>110</v>
      </c>
      <c r="D19" s="191">
        <v>1884</v>
      </c>
      <c r="E19" s="191">
        <v>724</v>
      </c>
      <c r="F19" s="83"/>
      <c r="G19" s="83"/>
      <c r="H19" s="82" t="s">
        <v>505</v>
      </c>
      <c r="I19" s="82" t="s">
        <v>501</v>
      </c>
      <c r="J19" s="84" t="s">
        <v>551</v>
      </c>
      <c r="K19" s="194" t="s">
        <v>552</v>
      </c>
      <c r="L19" s="84" t="s">
        <v>542</v>
      </c>
      <c r="M19" s="85"/>
      <c r="N19" s="117" t="str">
        <f t="shared" si="1"/>
        <v>목김원규외 1인</v>
      </c>
      <c r="O19" s="66" t="str">
        <f t="shared" si="2"/>
        <v>-</v>
      </c>
      <c r="P19" s="71" t="e">
        <f>VLOOKUP($B19,#REF!,6,FALSE)</f>
        <v>#REF!</v>
      </c>
      <c r="Q19" s="72"/>
      <c r="R19" s="66">
        <f t="shared" si="0"/>
        <v>2</v>
      </c>
      <c r="S19" s="67"/>
    </row>
    <row r="20" spans="1:22" ht="27" customHeight="1">
      <c r="A20" s="190">
        <v>15</v>
      </c>
      <c r="B20" s="190" t="s">
        <v>112</v>
      </c>
      <c r="C20" s="190" t="s">
        <v>6</v>
      </c>
      <c r="D20" s="191">
        <v>630</v>
      </c>
      <c r="E20" s="191">
        <v>477</v>
      </c>
      <c r="F20" s="83"/>
      <c r="G20" s="83"/>
      <c r="H20" s="82" t="s">
        <v>375</v>
      </c>
      <c r="I20" s="156" t="s">
        <v>376</v>
      </c>
      <c r="J20" s="84"/>
      <c r="K20" s="194"/>
      <c r="L20" s="84"/>
      <c r="M20" s="85"/>
      <c r="N20" s="117" t="str">
        <f t="shared" si="1"/>
        <v>전김원규</v>
      </c>
      <c r="O20" s="66" t="str">
        <f t="shared" si="2"/>
        <v>-</v>
      </c>
      <c r="P20" s="71" t="e">
        <f>VLOOKUP($B20,#REF!,6,FALSE)</f>
        <v>#REF!</v>
      </c>
      <c r="Q20" s="72"/>
      <c r="R20" s="66">
        <f t="shared" si="0"/>
        <v>2</v>
      </c>
      <c r="S20" s="68"/>
      <c r="T20" s="66"/>
      <c r="U20" s="66"/>
      <c r="V20" s="66"/>
    </row>
    <row r="21" spans="1:19" ht="27" customHeight="1">
      <c r="A21" s="190">
        <v>16</v>
      </c>
      <c r="B21" s="190" t="s">
        <v>113</v>
      </c>
      <c r="C21" s="190" t="s">
        <v>114</v>
      </c>
      <c r="D21" s="191">
        <v>1245</v>
      </c>
      <c r="E21" s="191">
        <v>1245</v>
      </c>
      <c r="F21" s="83"/>
      <c r="G21" s="83"/>
      <c r="H21" s="82" t="s">
        <v>373</v>
      </c>
      <c r="I21" s="157" t="s">
        <v>374</v>
      </c>
      <c r="J21" s="204" t="s">
        <v>553</v>
      </c>
      <c r="K21" s="194" t="s">
        <v>554</v>
      </c>
      <c r="L21" s="84" t="s">
        <v>549</v>
      </c>
      <c r="M21" s="85"/>
      <c r="N21" s="117" t="str">
        <f t="shared" si="1"/>
        <v>주김인규</v>
      </c>
      <c r="O21" s="66" t="str">
        <f t="shared" si="2"/>
        <v>-</v>
      </c>
      <c r="P21" s="71" t="e">
        <f>VLOOKUP($B21,#REF!,6,FALSE)</f>
        <v>#REF!</v>
      </c>
      <c r="Q21" s="72"/>
      <c r="R21" s="66">
        <f t="shared" si="0"/>
        <v>2</v>
      </c>
      <c r="S21" s="66"/>
    </row>
    <row r="22" spans="1:19" ht="27" customHeight="1">
      <c r="A22" s="190">
        <v>17</v>
      </c>
      <c r="B22" s="190" t="s">
        <v>115</v>
      </c>
      <c r="C22" s="190" t="s">
        <v>99</v>
      </c>
      <c r="D22" s="191">
        <v>660</v>
      </c>
      <c r="E22" s="191">
        <v>266</v>
      </c>
      <c r="F22" s="83"/>
      <c r="G22" s="83"/>
      <c r="H22" s="82" t="s">
        <v>375</v>
      </c>
      <c r="I22" s="156" t="s">
        <v>376</v>
      </c>
      <c r="J22" s="84"/>
      <c r="K22" s="194"/>
      <c r="L22" s="84"/>
      <c r="M22" s="85"/>
      <c r="N22" s="117" t="str">
        <f t="shared" si="1"/>
        <v>대김원규</v>
      </c>
      <c r="O22" s="66" t="str">
        <f t="shared" si="2"/>
        <v>-</v>
      </c>
      <c r="P22" s="71" t="e">
        <f>VLOOKUP($B22,#REF!,6,FALSE)</f>
        <v>#REF!</v>
      </c>
      <c r="Q22" s="56"/>
      <c r="R22" s="66">
        <f t="shared" si="0"/>
        <v>2</v>
      </c>
      <c r="S22" s="66"/>
    </row>
    <row r="23" spans="1:19" ht="27" customHeight="1">
      <c r="A23" s="190">
        <v>18</v>
      </c>
      <c r="B23" s="190" t="s">
        <v>116</v>
      </c>
      <c r="C23" s="190" t="s">
        <v>7</v>
      </c>
      <c r="D23" s="191">
        <v>590</v>
      </c>
      <c r="E23" s="191">
        <v>590</v>
      </c>
      <c r="F23" s="83"/>
      <c r="G23" s="83"/>
      <c r="H23" s="82" t="s">
        <v>397</v>
      </c>
      <c r="I23" s="157" t="s">
        <v>398</v>
      </c>
      <c r="J23" s="84"/>
      <c r="K23" s="194"/>
      <c r="L23" s="84"/>
      <c r="M23" s="85" t="s">
        <v>575</v>
      </c>
      <c r="N23" s="117" t="str">
        <f t="shared" si="1"/>
        <v>답손호목외 1인</v>
      </c>
      <c r="O23" s="66" t="str">
        <f t="shared" si="2"/>
        <v>-</v>
      </c>
      <c r="P23" s="71" t="e">
        <f>VLOOKUP($B23,#REF!,6,FALSE)</f>
        <v>#REF!</v>
      </c>
      <c r="Q23" s="56"/>
      <c r="R23" s="66">
        <f t="shared" si="0"/>
        <v>2</v>
      </c>
      <c r="S23" s="66"/>
    </row>
    <row r="24" spans="1:19" ht="27" customHeight="1">
      <c r="A24" s="190">
        <v>19</v>
      </c>
      <c r="B24" s="190" t="s">
        <v>117</v>
      </c>
      <c r="C24" s="190" t="s">
        <v>6</v>
      </c>
      <c r="D24" s="191">
        <v>727</v>
      </c>
      <c r="E24" s="191">
        <v>724</v>
      </c>
      <c r="F24" s="83"/>
      <c r="G24" s="83"/>
      <c r="H24" s="82" t="s">
        <v>397</v>
      </c>
      <c r="I24" s="157" t="s">
        <v>398</v>
      </c>
      <c r="J24" s="84"/>
      <c r="K24" s="194"/>
      <c r="L24" s="84"/>
      <c r="M24" s="189"/>
      <c r="N24" s="117" t="str">
        <f t="shared" si="1"/>
        <v>전손호목외 1인</v>
      </c>
      <c r="O24" s="66" t="str">
        <f t="shared" si="2"/>
        <v>-</v>
      </c>
      <c r="P24" s="71" t="e">
        <f>VLOOKUP($B24,#REF!,6,FALSE)</f>
        <v>#REF!</v>
      </c>
      <c r="Q24" s="56"/>
      <c r="R24" s="66">
        <f t="shared" si="0"/>
        <v>2</v>
      </c>
      <c r="S24" s="66"/>
    </row>
    <row r="25" spans="1:19" ht="27" customHeight="1">
      <c r="A25" s="190">
        <v>20</v>
      </c>
      <c r="B25" s="190">
        <v>581</v>
      </c>
      <c r="C25" s="190" t="s">
        <v>7</v>
      </c>
      <c r="D25" s="191">
        <v>874</v>
      </c>
      <c r="E25" s="191">
        <v>88</v>
      </c>
      <c r="F25" s="83"/>
      <c r="G25" s="83"/>
      <c r="H25" s="82" t="s">
        <v>397</v>
      </c>
      <c r="I25" s="157" t="s">
        <v>398</v>
      </c>
      <c r="J25" s="84"/>
      <c r="K25" s="194"/>
      <c r="L25" s="84"/>
      <c r="M25" s="189"/>
      <c r="N25" s="117" t="str">
        <f t="shared" si="1"/>
        <v>답손호목외 1인</v>
      </c>
      <c r="O25" s="66" t="str">
        <f t="shared" si="2"/>
        <v>-</v>
      </c>
      <c r="P25" s="71" t="e">
        <f>VLOOKUP($B25,#REF!,6,FALSE)</f>
        <v>#REF!</v>
      </c>
      <c r="Q25" s="56"/>
      <c r="R25" s="66">
        <f t="shared" si="0"/>
        <v>2</v>
      </c>
      <c r="S25" s="66"/>
    </row>
    <row r="26" spans="1:18" s="96" customFormat="1" ht="27" customHeight="1">
      <c r="A26" s="216" t="s">
        <v>61</v>
      </c>
      <c r="B26" s="216"/>
      <c r="C26" s="216"/>
      <c r="D26" s="203"/>
      <c r="E26" s="113">
        <f>SUM(E6:E25)</f>
        <v>9928</v>
      </c>
      <c r="F26" s="114"/>
      <c r="G26" s="114"/>
      <c r="H26" s="112"/>
      <c r="I26" s="112"/>
      <c r="J26" s="115"/>
      <c r="K26" s="115"/>
      <c r="L26" s="115"/>
      <c r="M26" s="116"/>
      <c r="N26" s="117">
        <f t="shared" si="1"/>
      </c>
      <c r="O26" s="118"/>
      <c r="P26" s="119"/>
      <c r="Q26" s="118"/>
      <c r="R26" s="118"/>
    </row>
    <row r="27" spans="1:19" ht="27" customHeight="1">
      <c r="A27" s="190">
        <v>21</v>
      </c>
      <c r="B27" s="190">
        <v>601</v>
      </c>
      <c r="C27" s="190" t="s">
        <v>99</v>
      </c>
      <c r="D27" s="191">
        <v>116</v>
      </c>
      <c r="E27" s="191">
        <v>116</v>
      </c>
      <c r="F27" s="83"/>
      <c r="G27" s="83"/>
      <c r="H27" s="82" t="s">
        <v>383</v>
      </c>
      <c r="I27" s="82" t="s">
        <v>384</v>
      </c>
      <c r="J27" s="84"/>
      <c r="K27" s="194"/>
      <c r="L27" s="84"/>
      <c r="M27" s="85"/>
      <c r="N27" s="117" t="str">
        <f t="shared" si="1"/>
        <v>대안익승</v>
      </c>
      <c r="O27" s="66" t="str">
        <f t="shared" si="2"/>
        <v>-</v>
      </c>
      <c r="P27" s="71" t="e">
        <f>VLOOKUP($B27,#REF!,6,FALSE)</f>
        <v>#REF!</v>
      </c>
      <c r="Q27" s="56"/>
      <c r="R27" s="66">
        <f t="shared" si="0"/>
        <v>2</v>
      </c>
      <c r="S27" s="66"/>
    </row>
    <row r="28" spans="1:19" ht="27" customHeight="1">
      <c r="A28" s="190">
        <v>22</v>
      </c>
      <c r="B28" s="190" t="s">
        <v>118</v>
      </c>
      <c r="C28" s="190" t="s">
        <v>6</v>
      </c>
      <c r="D28" s="191">
        <v>4848</v>
      </c>
      <c r="E28" s="191">
        <v>2233</v>
      </c>
      <c r="F28" s="83"/>
      <c r="G28" s="83"/>
      <c r="H28" s="82" t="s">
        <v>375</v>
      </c>
      <c r="I28" s="156" t="s">
        <v>376</v>
      </c>
      <c r="J28" s="84"/>
      <c r="K28" s="194"/>
      <c r="L28" s="84"/>
      <c r="M28" s="85"/>
      <c r="N28" s="117" t="str">
        <f t="shared" si="1"/>
        <v>전김원규</v>
      </c>
      <c r="O28" s="66" t="str">
        <f t="shared" si="2"/>
        <v>-</v>
      </c>
      <c r="P28" s="71" t="e">
        <f>VLOOKUP($B28,#REF!,6,FALSE)</f>
        <v>#REF!</v>
      </c>
      <c r="Q28" s="56"/>
      <c r="R28" s="66">
        <f t="shared" si="0"/>
        <v>2</v>
      </c>
      <c r="S28" s="66"/>
    </row>
    <row r="29" spans="1:19" ht="27" customHeight="1">
      <c r="A29" s="190">
        <v>23</v>
      </c>
      <c r="B29" s="190" t="s">
        <v>119</v>
      </c>
      <c r="C29" s="190" t="s">
        <v>110</v>
      </c>
      <c r="D29" s="191">
        <v>135</v>
      </c>
      <c r="E29" s="191">
        <v>37</v>
      </c>
      <c r="F29" s="83"/>
      <c r="G29" s="83"/>
      <c r="H29" s="82" t="s">
        <v>502</v>
      </c>
      <c r="I29" s="82" t="s">
        <v>501</v>
      </c>
      <c r="J29" s="84"/>
      <c r="K29" s="194"/>
      <c r="L29" s="84"/>
      <c r="M29" s="85"/>
      <c r="N29" s="117" t="str">
        <f t="shared" si="1"/>
        <v>목김원규 외 1인</v>
      </c>
      <c r="O29" s="66" t="str">
        <f t="shared" si="2"/>
        <v>-</v>
      </c>
      <c r="P29" s="71" t="e">
        <f>VLOOKUP($B29,#REF!,6,FALSE)</f>
        <v>#REF!</v>
      </c>
      <c r="Q29" s="56"/>
      <c r="R29" s="66">
        <f t="shared" si="0"/>
        <v>2</v>
      </c>
      <c r="S29" s="66"/>
    </row>
    <row r="30" spans="1:19" ht="27" customHeight="1">
      <c r="A30" s="190">
        <v>24</v>
      </c>
      <c r="B30" s="190" t="s">
        <v>120</v>
      </c>
      <c r="C30" s="190" t="s">
        <v>67</v>
      </c>
      <c r="D30" s="191">
        <v>3195</v>
      </c>
      <c r="E30" s="191">
        <v>2377</v>
      </c>
      <c r="F30" s="83"/>
      <c r="G30" s="83"/>
      <c r="H30" s="82" t="s">
        <v>497</v>
      </c>
      <c r="I30" s="157" t="s">
        <v>498</v>
      </c>
      <c r="J30" s="84"/>
      <c r="K30" s="84"/>
      <c r="L30" s="84"/>
      <c r="M30" s="84"/>
      <c r="N30" s="117" t="str">
        <f t="shared" si="1"/>
        <v>임조정선 외 4인</v>
      </c>
      <c r="O30" s="66" t="str">
        <f t="shared" si="2"/>
        <v>-</v>
      </c>
      <c r="P30" s="71" t="e">
        <f>VLOOKUP($B30,#REF!,6,FALSE)</f>
        <v>#REF!</v>
      </c>
      <c r="Q30" s="56"/>
      <c r="R30" s="66">
        <f t="shared" si="0"/>
        <v>2</v>
      </c>
      <c r="S30" s="66"/>
    </row>
    <row r="31" spans="1:19" ht="27" customHeight="1">
      <c r="A31" s="190">
        <v>25</v>
      </c>
      <c r="B31" s="190" t="s">
        <v>121</v>
      </c>
      <c r="C31" s="190" t="s">
        <v>67</v>
      </c>
      <c r="D31" s="191">
        <v>81</v>
      </c>
      <c r="E31" s="191">
        <v>81</v>
      </c>
      <c r="F31" s="83"/>
      <c r="G31" s="83"/>
      <c r="H31" s="156" t="s">
        <v>499</v>
      </c>
      <c r="I31" s="156" t="s">
        <v>500</v>
      </c>
      <c r="J31" s="84"/>
      <c r="K31" s="84"/>
      <c r="L31" s="84"/>
      <c r="M31" s="85"/>
      <c r="N31" s="117" t="str">
        <f t="shared" si="1"/>
        <v>임황보분화 외 3인</v>
      </c>
      <c r="O31" s="66" t="str">
        <f t="shared" si="2"/>
        <v>-</v>
      </c>
      <c r="P31" s="71" t="e">
        <f>VLOOKUP($B31,#REF!,6,FALSE)</f>
        <v>#REF!</v>
      </c>
      <c r="Q31" s="56"/>
      <c r="R31" s="66">
        <f t="shared" si="0"/>
        <v>2</v>
      </c>
      <c r="S31" s="66"/>
    </row>
    <row r="32" spans="1:19" ht="27" customHeight="1">
      <c r="A32" s="190">
        <v>26</v>
      </c>
      <c r="B32" s="190">
        <v>571</v>
      </c>
      <c r="C32" s="190" t="s">
        <v>7</v>
      </c>
      <c r="D32" s="191">
        <v>881</v>
      </c>
      <c r="E32" s="191">
        <v>138</v>
      </c>
      <c r="F32" s="83"/>
      <c r="G32" s="83"/>
      <c r="H32" s="82" t="s">
        <v>395</v>
      </c>
      <c r="I32" s="157" t="s">
        <v>396</v>
      </c>
      <c r="J32" s="84"/>
      <c r="K32" s="194"/>
      <c r="L32" s="84"/>
      <c r="M32" s="85"/>
      <c r="N32" s="117" t="str">
        <f t="shared" si="1"/>
        <v>답김순정</v>
      </c>
      <c r="O32" s="66" t="str">
        <f t="shared" si="2"/>
        <v>-</v>
      </c>
      <c r="P32" s="71" t="e">
        <f>VLOOKUP($B32,#REF!,6,FALSE)</f>
        <v>#REF!</v>
      </c>
      <c r="Q32" s="56"/>
      <c r="R32" s="66">
        <f t="shared" si="0"/>
        <v>2</v>
      </c>
      <c r="S32" s="66"/>
    </row>
    <row r="33" spans="1:19" ht="27" customHeight="1">
      <c r="A33" s="190">
        <v>27</v>
      </c>
      <c r="B33" s="190" t="s">
        <v>122</v>
      </c>
      <c r="C33" s="190" t="s">
        <v>7</v>
      </c>
      <c r="D33" s="191">
        <v>276</v>
      </c>
      <c r="E33" s="191">
        <v>276</v>
      </c>
      <c r="F33" s="83"/>
      <c r="G33" s="83"/>
      <c r="H33" s="82" t="s">
        <v>533</v>
      </c>
      <c r="I33" s="82" t="s">
        <v>316</v>
      </c>
      <c r="J33" s="84"/>
      <c r="K33" s="194"/>
      <c r="L33" s="84"/>
      <c r="M33" s="85"/>
      <c r="N33" s="117" t="str">
        <f t="shared" si="1"/>
        <v>답공</v>
      </c>
      <c r="O33" s="66" t="str">
        <f t="shared" si="2"/>
        <v>-</v>
      </c>
      <c r="P33" s="71" t="e">
        <f>VLOOKUP($B33,#REF!,6,FALSE)</f>
        <v>#REF!</v>
      </c>
      <c r="Q33" s="56"/>
      <c r="R33" s="66">
        <f t="shared" si="0"/>
        <v>2</v>
      </c>
      <c r="S33" s="66"/>
    </row>
    <row r="34" spans="1:19" ht="27" customHeight="1">
      <c r="A34" s="190">
        <v>28</v>
      </c>
      <c r="B34" s="190">
        <v>568</v>
      </c>
      <c r="C34" s="190" t="s">
        <v>7</v>
      </c>
      <c r="D34" s="191">
        <v>1693</v>
      </c>
      <c r="E34" s="191">
        <v>170</v>
      </c>
      <c r="F34" s="83"/>
      <c r="G34" s="83"/>
      <c r="H34" s="82" t="s">
        <v>394</v>
      </c>
      <c r="I34" s="82">
        <v>589</v>
      </c>
      <c r="J34" s="84"/>
      <c r="K34" s="194"/>
      <c r="L34" s="84"/>
      <c r="M34" s="85"/>
      <c r="N34" s="117" t="str">
        <f t="shared" si="1"/>
        <v>답손상목</v>
      </c>
      <c r="O34" s="66" t="str">
        <f t="shared" si="2"/>
        <v>-</v>
      </c>
      <c r="P34" s="71" t="e">
        <f>VLOOKUP($B34,#REF!,6,FALSE)</f>
        <v>#REF!</v>
      </c>
      <c r="Q34" s="56"/>
      <c r="R34" s="66">
        <f t="shared" si="0"/>
        <v>2</v>
      </c>
      <c r="S34" s="66"/>
    </row>
    <row r="35" spans="1:19" ht="27" customHeight="1">
      <c r="A35" s="190">
        <v>29</v>
      </c>
      <c r="B35" s="190" t="s">
        <v>123</v>
      </c>
      <c r="C35" s="190" t="s">
        <v>7</v>
      </c>
      <c r="D35" s="191">
        <v>492</v>
      </c>
      <c r="E35" s="191">
        <v>492</v>
      </c>
      <c r="F35" s="83"/>
      <c r="G35" s="83"/>
      <c r="H35" s="82" t="s">
        <v>394</v>
      </c>
      <c r="I35" s="82">
        <v>589</v>
      </c>
      <c r="J35" s="84"/>
      <c r="K35" s="194"/>
      <c r="L35" s="84"/>
      <c r="M35" s="85" t="s">
        <v>575</v>
      </c>
      <c r="N35" s="117" t="str">
        <f t="shared" si="1"/>
        <v>답손상목</v>
      </c>
      <c r="O35" s="66" t="str">
        <f t="shared" si="2"/>
        <v>-</v>
      </c>
      <c r="P35" s="71" t="e">
        <f>VLOOKUP($B35,#REF!,6,FALSE)</f>
        <v>#REF!</v>
      </c>
      <c r="Q35" s="56"/>
      <c r="R35" s="66">
        <f t="shared" si="0"/>
        <v>2</v>
      </c>
      <c r="S35" s="66"/>
    </row>
    <row r="36" spans="1:19" ht="27" customHeight="1">
      <c r="A36" s="190">
        <v>30</v>
      </c>
      <c r="B36" s="190">
        <v>567</v>
      </c>
      <c r="C36" s="190" t="s">
        <v>7</v>
      </c>
      <c r="D36" s="191">
        <v>3627</v>
      </c>
      <c r="E36" s="191">
        <v>273</v>
      </c>
      <c r="F36" s="83"/>
      <c r="G36" s="83"/>
      <c r="H36" s="82" t="s">
        <v>393</v>
      </c>
      <c r="I36" s="82">
        <v>498</v>
      </c>
      <c r="J36" s="84"/>
      <c r="K36" s="194"/>
      <c r="L36" s="84"/>
      <c r="M36" s="85"/>
      <c r="N36" s="117" t="str">
        <f t="shared" si="1"/>
        <v>답이만철</v>
      </c>
      <c r="O36" s="66" t="str">
        <f t="shared" si="2"/>
        <v>-</v>
      </c>
      <c r="P36" s="71" t="e">
        <f>VLOOKUP($B36,#REF!,6,FALSE)</f>
        <v>#REF!</v>
      </c>
      <c r="Q36" s="56"/>
      <c r="R36" s="66">
        <f t="shared" si="0"/>
        <v>2</v>
      </c>
      <c r="S36" s="67"/>
    </row>
    <row r="37" spans="1:19" ht="27" customHeight="1">
      <c r="A37" s="190">
        <v>31</v>
      </c>
      <c r="B37" s="190" t="s">
        <v>124</v>
      </c>
      <c r="C37" s="190" t="s">
        <v>7</v>
      </c>
      <c r="D37" s="191">
        <v>336</v>
      </c>
      <c r="E37" s="191">
        <v>336</v>
      </c>
      <c r="F37" s="83"/>
      <c r="G37" s="83"/>
      <c r="H37" s="82" t="s">
        <v>420</v>
      </c>
      <c r="I37" s="157" t="s">
        <v>421</v>
      </c>
      <c r="J37" s="84"/>
      <c r="K37" s="194"/>
      <c r="L37" s="84"/>
      <c r="M37" s="85"/>
      <c r="N37" s="117" t="str">
        <f t="shared" si="1"/>
        <v>답이숙자</v>
      </c>
      <c r="O37" s="66" t="str">
        <f t="shared" si="2"/>
        <v>-</v>
      </c>
      <c r="P37" s="71" t="e">
        <f>VLOOKUP($B37,#REF!,6,FALSE)</f>
        <v>#REF!</v>
      </c>
      <c r="Q37" s="56"/>
      <c r="R37" s="66">
        <f t="shared" si="0"/>
        <v>2</v>
      </c>
      <c r="S37" s="67"/>
    </row>
    <row r="38" spans="1:19" ht="27" customHeight="1">
      <c r="A38" s="190">
        <v>32</v>
      </c>
      <c r="B38" s="190">
        <v>703</v>
      </c>
      <c r="C38" s="190" t="s">
        <v>92</v>
      </c>
      <c r="D38" s="191">
        <v>4076</v>
      </c>
      <c r="E38" s="191">
        <v>935</v>
      </c>
      <c r="F38" s="83"/>
      <c r="G38" s="83"/>
      <c r="H38" s="82" t="s">
        <v>310</v>
      </c>
      <c r="I38" s="82" t="s">
        <v>315</v>
      </c>
      <c r="J38" s="84"/>
      <c r="K38" s="194"/>
      <c r="L38" s="84"/>
      <c r="M38" s="85"/>
      <c r="N38" s="117" t="str">
        <f t="shared" si="1"/>
        <v>도국</v>
      </c>
      <c r="O38" s="66" t="str">
        <f t="shared" si="2"/>
        <v>-</v>
      </c>
      <c r="P38" s="71" t="e">
        <f>VLOOKUP($B38,#REF!,6,FALSE)</f>
        <v>#REF!</v>
      </c>
      <c r="Q38" s="56"/>
      <c r="R38" s="66">
        <f t="shared" si="0"/>
        <v>2</v>
      </c>
      <c r="S38" s="67"/>
    </row>
    <row r="39" spans="1:22" ht="27" customHeight="1">
      <c r="A39" s="190">
        <v>33</v>
      </c>
      <c r="B39" s="190" t="s">
        <v>125</v>
      </c>
      <c r="C39" s="190" t="s">
        <v>67</v>
      </c>
      <c r="D39" s="191">
        <v>210</v>
      </c>
      <c r="E39" s="191">
        <v>200</v>
      </c>
      <c r="F39" s="83"/>
      <c r="G39" s="83"/>
      <c r="H39" s="82" t="s">
        <v>533</v>
      </c>
      <c r="I39" s="82" t="s">
        <v>316</v>
      </c>
      <c r="J39" s="84"/>
      <c r="K39" s="194"/>
      <c r="L39" s="84"/>
      <c r="M39" s="85"/>
      <c r="N39" s="117" t="str">
        <f t="shared" si="1"/>
        <v>임공</v>
      </c>
      <c r="O39" s="66" t="str">
        <f t="shared" si="2"/>
        <v>-</v>
      </c>
      <c r="P39" s="71" t="e">
        <f>VLOOKUP($B39,#REF!,6,FALSE)</f>
        <v>#REF!</v>
      </c>
      <c r="Q39" s="56"/>
      <c r="R39" s="66">
        <f t="shared" si="0"/>
        <v>2</v>
      </c>
      <c r="S39" s="68"/>
      <c r="T39" s="66"/>
      <c r="U39" s="66"/>
      <c r="V39" s="66"/>
    </row>
    <row r="40" spans="1:19" ht="27" customHeight="1">
      <c r="A40" s="190">
        <v>34</v>
      </c>
      <c r="B40" s="190" t="s">
        <v>126</v>
      </c>
      <c r="C40" s="190" t="s">
        <v>7</v>
      </c>
      <c r="D40" s="191">
        <v>249</v>
      </c>
      <c r="E40" s="191">
        <v>249</v>
      </c>
      <c r="F40" s="83"/>
      <c r="G40" s="83"/>
      <c r="H40" s="82" t="s">
        <v>378</v>
      </c>
      <c r="I40" s="157" t="s">
        <v>379</v>
      </c>
      <c r="J40" s="84"/>
      <c r="K40" s="194"/>
      <c r="L40" s="84"/>
      <c r="M40" s="87"/>
      <c r="N40" s="117" t="str">
        <f t="shared" si="1"/>
        <v>답이현근</v>
      </c>
      <c r="O40" s="66" t="str">
        <f t="shared" si="2"/>
        <v>-</v>
      </c>
      <c r="P40" s="71" t="e">
        <f>VLOOKUP($B40,#REF!,6,FALSE)</f>
        <v>#REF!</v>
      </c>
      <c r="Q40" s="56"/>
      <c r="R40" s="66">
        <f t="shared" si="0"/>
        <v>2</v>
      </c>
      <c r="S40" s="66"/>
    </row>
    <row r="41" spans="1:19" ht="27" customHeight="1">
      <c r="A41" s="190">
        <v>35</v>
      </c>
      <c r="B41" s="190" t="s">
        <v>579</v>
      </c>
      <c r="C41" s="190" t="s">
        <v>7</v>
      </c>
      <c r="D41" s="191">
        <v>76</v>
      </c>
      <c r="E41" s="191">
        <v>76</v>
      </c>
      <c r="F41" s="83"/>
      <c r="G41" s="83"/>
      <c r="H41" s="82" t="s">
        <v>393</v>
      </c>
      <c r="I41" s="82">
        <v>498</v>
      </c>
      <c r="J41" s="84"/>
      <c r="K41" s="194"/>
      <c r="L41" s="84"/>
      <c r="M41" s="87"/>
      <c r="N41" s="117" t="str">
        <f t="shared" si="1"/>
        <v>답이만철</v>
      </c>
      <c r="O41" s="66" t="str">
        <f t="shared" si="2"/>
        <v>-</v>
      </c>
      <c r="P41" s="71" t="e">
        <f>VLOOKUP($B41,#REF!,6,FALSE)</f>
        <v>#REF!</v>
      </c>
      <c r="Q41" s="56"/>
      <c r="R41" s="66">
        <f t="shared" si="0"/>
        <v>2</v>
      </c>
      <c r="S41" s="66"/>
    </row>
    <row r="42" spans="1:19" ht="27" customHeight="1">
      <c r="A42" s="190">
        <v>36</v>
      </c>
      <c r="B42" s="190" t="s">
        <v>580</v>
      </c>
      <c r="C42" s="190" t="s">
        <v>7</v>
      </c>
      <c r="D42" s="191">
        <v>19</v>
      </c>
      <c r="E42" s="191">
        <v>19</v>
      </c>
      <c r="F42" s="83"/>
      <c r="G42" s="83"/>
      <c r="H42" s="82" t="s">
        <v>418</v>
      </c>
      <c r="I42" s="157" t="s">
        <v>419</v>
      </c>
      <c r="J42" s="84"/>
      <c r="K42" s="194"/>
      <c r="L42" s="198"/>
      <c r="M42" s="87"/>
      <c r="N42" s="117" t="str">
        <f t="shared" si="1"/>
        <v>답김기훈</v>
      </c>
      <c r="O42" s="66" t="str">
        <f t="shared" si="2"/>
        <v>-</v>
      </c>
      <c r="P42" s="71" t="e">
        <f>VLOOKUP($B42,#REF!,6,FALSE)</f>
        <v>#REF!</v>
      </c>
      <c r="Q42" s="56"/>
      <c r="R42" s="66">
        <f t="shared" si="0"/>
        <v>2</v>
      </c>
      <c r="S42" s="66"/>
    </row>
    <row r="43" spans="1:19" ht="27" customHeight="1">
      <c r="A43" s="190">
        <v>37</v>
      </c>
      <c r="B43" s="190" t="s">
        <v>581</v>
      </c>
      <c r="C43" s="190" t="s">
        <v>7</v>
      </c>
      <c r="D43" s="191">
        <v>59</v>
      </c>
      <c r="E43" s="191">
        <v>59</v>
      </c>
      <c r="F43" s="83"/>
      <c r="G43" s="83"/>
      <c r="H43" s="82" t="s">
        <v>582</v>
      </c>
      <c r="I43" s="82">
        <v>487</v>
      </c>
      <c r="J43" s="84"/>
      <c r="K43" s="194"/>
      <c r="L43" s="198"/>
      <c r="M43" s="87"/>
      <c r="N43" s="117" t="str">
        <f t="shared" si="1"/>
        <v>답이상문</v>
      </c>
      <c r="O43" s="66" t="str">
        <f t="shared" si="2"/>
        <v>-</v>
      </c>
      <c r="P43" s="71" t="e">
        <f>VLOOKUP($B43,#REF!,6,FALSE)</f>
        <v>#REF!</v>
      </c>
      <c r="Q43" s="56"/>
      <c r="R43" s="66">
        <f t="shared" si="0"/>
        <v>2</v>
      </c>
      <c r="S43" s="66"/>
    </row>
    <row r="44" spans="1:19" ht="27" customHeight="1">
      <c r="A44" s="190">
        <v>38</v>
      </c>
      <c r="B44" s="190" t="s">
        <v>127</v>
      </c>
      <c r="C44" s="190" t="s">
        <v>67</v>
      </c>
      <c r="D44" s="191">
        <v>18950</v>
      </c>
      <c r="E44" s="191">
        <v>59</v>
      </c>
      <c r="F44" s="83"/>
      <c r="G44" s="83"/>
      <c r="H44" s="157" t="s">
        <v>483</v>
      </c>
      <c r="I44" s="82" t="s">
        <v>484</v>
      </c>
      <c r="J44" s="84"/>
      <c r="K44" s="194"/>
      <c r="L44" s="84"/>
      <c r="M44" s="87"/>
      <c r="N44" s="117" t="str">
        <f t="shared" si="1"/>
        <v>임평택임씨충민공파휘재일장성문중</v>
      </c>
      <c r="O44" s="66" t="str">
        <f t="shared" si="2"/>
        <v>-</v>
      </c>
      <c r="P44" s="71" t="e">
        <f>VLOOKUP($B44,#REF!,6,FALSE)</f>
        <v>#REF!</v>
      </c>
      <c r="Q44" s="56"/>
      <c r="R44" s="66">
        <f t="shared" si="0"/>
        <v>2</v>
      </c>
      <c r="S44" s="66"/>
    </row>
    <row r="45" spans="1:19" ht="27" customHeight="1">
      <c r="A45" s="190">
        <v>39</v>
      </c>
      <c r="B45" s="190">
        <v>606</v>
      </c>
      <c r="C45" s="190" t="s">
        <v>6</v>
      </c>
      <c r="D45" s="191">
        <v>228</v>
      </c>
      <c r="E45" s="191">
        <v>7</v>
      </c>
      <c r="F45" s="83"/>
      <c r="G45" s="83"/>
      <c r="H45" s="82" t="s">
        <v>387</v>
      </c>
      <c r="I45" s="157" t="s">
        <v>388</v>
      </c>
      <c r="J45" s="84"/>
      <c r="K45" s="194"/>
      <c r="L45" s="84"/>
      <c r="M45" s="87"/>
      <c r="N45" s="117" t="str">
        <f t="shared" si="1"/>
        <v>전정연만</v>
      </c>
      <c r="O45" s="66" t="str">
        <f t="shared" si="2"/>
        <v>-</v>
      </c>
      <c r="P45" s="71" t="e">
        <f>VLOOKUP($B45,#REF!,6,FALSE)</f>
        <v>#REF!</v>
      </c>
      <c r="Q45" s="56"/>
      <c r="R45" s="66">
        <f t="shared" si="0"/>
        <v>2</v>
      </c>
      <c r="S45" s="66"/>
    </row>
    <row r="46" spans="1:19" ht="27" customHeight="1">
      <c r="A46" s="190">
        <v>40</v>
      </c>
      <c r="B46" s="190">
        <v>605</v>
      </c>
      <c r="C46" s="190" t="s">
        <v>7</v>
      </c>
      <c r="D46" s="191">
        <v>1488</v>
      </c>
      <c r="E46" s="191">
        <v>28</v>
      </c>
      <c r="F46" s="83"/>
      <c r="G46" s="83"/>
      <c r="H46" s="82" t="s">
        <v>385</v>
      </c>
      <c r="I46" s="82" t="s">
        <v>386</v>
      </c>
      <c r="J46" s="84"/>
      <c r="K46" s="194"/>
      <c r="L46" s="84"/>
      <c r="M46" s="87"/>
      <c r="N46" s="117" t="str">
        <f t="shared" si="1"/>
        <v>답정철봉</v>
      </c>
      <c r="O46" s="66" t="str">
        <f t="shared" si="2"/>
        <v>-</v>
      </c>
      <c r="P46" s="71" t="e">
        <f>VLOOKUP($B46,#REF!,6,FALSE)</f>
        <v>#REF!</v>
      </c>
      <c r="Q46" s="56"/>
      <c r="R46" s="66">
        <f t="shared" si="0"/>
        <v>2</v>
      </c>
      <c r="S46" s="66"/>
    </row>
    <row r="47" spans="1:18" s="96" customFormat="1" ht="27" customHeight="1">
      <c r="A47" s="216" t="s">
        <v>61</v>
      </c>
      <c r="B47" s="216"/>
      <c r="C47" s="216"/>
      <c r="D47" s="112"/>
      <c r="E47" s="113">
        <f>SUM(E27:E46)</f>
        <v>8161</v>
      </c>
      <c r="F47" s="114"/>
      <c r="G47" s="114"/>
      <c r="H47" s="112"/>
      <c r="I47" s="112"/>
      <c r="J47" s="115"/>
      <c r="K47" s="115"/>
      <c r="L47" s="115"/>
      <c r="M47" s="116"/>
      <c r="N47" s="117">
        <f t="shared" si="1"/>
      </c>
      <c r="O47" s="118"/>
      <c r="P47" s="119"/>
      <c r="Q47" s="118"/>
      <c r="R47" s="118"/>
    </row>
    <row r="48" spans="1:19" ht="27" customHeight="1">
      <c r="A48" s="190">
        <v>41</v>
      </c>
      <c r="B48" s="190" t="s">
        <v>128</v>
      </c>
      <c r="C48" s="190" t="s">
        <v>92</v>
      </c>
      <c r="D48" s="191">
        <v>62</v>
      </c>
      <c r="E48" s="191">
        <v>23</v>
      </c>
      <c r="F48" s="83"/>
      <c r="G48" s="83"/>
      <c r="H48" s="82" t="s">
        <v>377</v>
      </c>
      <c r="I48" s="82">
        <v>594</v>
      </c>
      <c r="J48" s="84"/>
      <c r="K48" s="194"/>
      <c r="L48" s="84"/>
      <c r="M48" s="87"/>
      <c r="N48" s="117" t="str">
        <f t="shared" si="1"/>
        <v>도김순권</v>
      </c>
      <c r="O48" s="66" t="str">
        <f t="shared" si="2"/>
        <v>-</v>
      </c>
      <c r="P48" s="71" t="e">
        <f>VLOOKUP($B48,#REF!,6,FALSE)</f>
        <v>#REF!</v>
      </c>
      <c r="Q48" s="56"/>
      <c r="R48" s="66">
        <f t="shared" si="0"/>
        <v>2</v>
      </c>
      <c r="S48" s="66"/>
    </row>
    <row r="49" spans="1:19" ht="27" customHeight="1">
      <c r="A49" s="190">
        <v>42</v>
      </c>
      <c r="B49" s="190" t="s">
        <v>129</v>
      </c>
      <c r="C49" s="190" t="s">
        <v>7</v>
      </c>
      <c r="D49" s="191">
        <v>1999</v>
      </c>
      <c r="E49" s="191">
        <v>1494</v>
      </c>
      <c r="F49" s="83"/>
      <c r="G49" s="83"/>
      <c r="H49" s="82" t="s">
        <v>382</v>
      </c>
      <c r="I49" s="82">
        <v>590</v>
      </c>
      <c r="J49" s="84"/>
      <c r="K49" s="194"/>
      <c r="L49" s="84"/>
      <c r="M49" s="87"/>
      <c r="N49" s="117" t="str">
        <f t="shared" si="1"/>
        <v>답정창율</v>
      </c>
      <c r="O49" s="66" t="str">
        <f t="shared" si="2"/>
        <v>-</v>
      </c>
      <c r="P49" s="71" t="e">
        <f>VLOOKUP($B49,#REF!,6,FALSE)</f>
        <v>#REF!</v>
      </c>
      <c r="Q49" s="56"/>
      <c r="R49" s="66">
        <f t="shared" si="0"/>
        <v>2</v>
      </c>
      <c r="S49" s="66"/>
    </row>
    <row r="50" spans="1:19" ht="27" customHeight="1">
      <c r="A50" s="190">
        <v>43</v>
      </c>
      <c r="B50" s="190" t="s">
        <v>537</v>
      </c>
      <c r="C50" s="190" t="s">
        <v>7</v>
      </c>
      <c r="D50" s="191">
        <v>486</v>
      </c>
      <c r="E50" s="191">
        <v>486</v>
      </c>
      <c r="F50" s="83"/>
      <c r="G50" s="83"/>
      <c r="H50" s="82" t="s">
        <v>533</v>
      </c>
      <c r="I50" s="82" t="s">
        <v>316</v>
      </c>
      <c r="J50" s="84"/>
      <c r="K50" s="84"/>
      <c r="L50" s="84"/>
      <c r="M50" s="87"/>
      <c r="N50" s="117" t="str">
        <f t="shared" si="1"/>
        <v>답공</v>
      </c>
      <c r="O50" s="66" t="str">
        <f t="shared" si="2"/>
        <v>-</v>
      </c>
      <c r="P50" s="71" t="e">
        <f>VLOOKUP($B50,#REF!,6,FALSE)</f>
        <v>#REF!</v>
      </c>
      <c r="Q50" s="66"/>
      <c r="R50" s="66">
        <f t="shared" si="0"/>
        <v>2</v>
      </c>
      <c r="S50" s="66"/>
    </row>
    <row r="51" spans="1:19" ht="27" customHeight="1">
      <c r="A51" s="190">
        <v>44</v>
      </c>
      <c r="B51" s="190" t="s">
        <v>130</v>
      </c>
      <c r="C51" s="190" t="s">
        <v>131</v>
      </c>
      <c r="D51" s="191">
        <v>36230</v>
      </c>
      <c r="E51" s="191">
        <v>519</v>
      </c>
      <c r="F51" s="83"/>
      <c r="G51" s="83"/>
      <c r="H51" s="82" t="s">
        <v>310</v>
      </c>
      <c r="I51" s="82" t="s">
        <v>330</v>
      </c>
      <c r="J51" s="84"/>
      <c r="K51" s="84"/>
      <c r="L51" s="84"/>
      <c r="M51" s="87"/>
      <c r="N51" s="117" t="str">
        <f t="shared" si="1"/>
        <v>천국</v>
      </c>
      <c r="O51" s="66" t="str">
        <f t="shared" si="2"/>
        <v>-</v>
      </c>
      <c r="P51" s="71" t="e">
        <f>VLOOKUP($B51,#REF!,6,FALSE)</f>
        <v>#REF!</v>
      </c>
      <c r="Q51" s="66"/>
      <c r="R51" s="66">
        <f t="shared" si="0"/>
        <v>2</v>
      </c>
      <c r="S51" s="66"/>
    </row>
    <row r="52" spans="1:19" ht="27" customHeight="1">
      <c r="A52" s="190">
        <v>45</v>
      </c>
      <c r="B52" s="190" t="s">
        <v>132</v>
      </c>
      <c r="C52" s="190" t="s">
        <v>7</v>
      </c>
      <c r="D52" s="191">
        <v>54</v>
      </c>
      <c r="E52" s="191">
        <v>54</v>
      </c>
      <c r="F52" s="83"/>
      <c r="G52" s="83"/>
      <c r="H52" s="82" t="s">
        <v>380</v>
      </c>
      <c r="I52" s="82" t="s">
        <v>381</v>
      </c>
      <c r="J52" s="84"/>
      <c r="K52" s="194"/>
      <c r="L52" s="84"/>
      <c r="M52" s="87"/>
      <c r="N52" s="117" t="str">
        <f t="shared" si="1"/>
        <v>답금시환</v>
      </c>
      <c r="O52" s="66" t="str">
        <f t="shared" si="2"/>
        <v>-</v>
      </c>
      <c r="P52" s="71" t="e">
        <f>VLOOKUP($B52,#REF!,6,FALSE)</f>
        <v>#REF!</v>
      </c>
      <c r="Q52" s="66"/>
      <c r="R52" s="66">
        <f t="shared" si="0"/>
        <v>2</v>
      </c>
      <c r="S52" s="66"/>
    </row>
    <row r="53" spans="1:19" ht="27" customHeight="1">
      <c r="A53" s="190">
        <v>46</v>
      </c>
      <c r="B53" s="190" t="s">
        <v>133</v>
      </c>
      <c r="C53" s="190" t="s">
        <v>7</v>
      </c>
      <c r="D53" s="191">
        <v>366</v>
      </c>
      <c r="E53" s="191">
        <v>366</v>
      </c>
      <c r="F53" s="83"/>
      <c r="G53" s="83"/>
      <c r="H53" s="82" t="s">
        <v>533</v>
      </c>
      <c r="I53" s="82" t="s">
        <v>316</v>
      </c>
      <c r="J53" s="84"/>
      <c r="K53" s="194"/>
      <c r="L53" s="84"/>
      <c r="M53" s="87"/>
      <c r="N53" s="117" t="str">
        <f t="shared" si="1"/>
        <v>답공</v>
      </c>
      <c r="O53" s="66" t="str">
        <f t="shared" si="2"/>
        <v>-</v>
      </c>
      <c r="P53" s="71" t="e">
        <f>VLOOKUP($B53,#REF!,6,FALSE)</f>
        <v>#REF!</v>
      </c>
      <c r="Q53" s="66"/>
      <c r="R53" s="66">
        <f t="shared" si="0"/>
        <v>2</v>
      </c>
      <c r="S53" s="66"/>
    </row>
    <row r="54" spans="1:19" ht="27" customHeight="1">
      <c r="A54" s="190">
        <v>47</v>
      </c>
      <c r="B54" s="190">
        <v>620</v>
      </c>
      <c r="C54" s="190" t="s">
        <v>134</v>
      </c>
      <c r="D54" s="191">
        <v>2499</v>
      </c>
      <c r="E54" s="191">
        <v>20</v>
      </c>
      <c r="F54" s="83"/>
      <c r="G54" s="83"/>
      <c r="H54" s="82" t="s">
        <v>380</v>
      </c>
      <c r="I54" s="82" t="s">
        <v>381</v>
      </c>
      <c r="J54" s="84"/>
      <c r="K54" s="194"/>
      <c r="L54" s="84"/>
      <c r="M54" s="87"/>
      <c r="N54" s="117" t="str">
        <f t="shared" si="1"/>
        <v>장금시환</v>
      </c>
      <c r="O54" s="66" t="str">
        <f t="shared" si="2"/>
        <v>-</v>
      </c>
      <c r="P54" s="71" t="e">
        <f>VLOOKUP($B54,#REF!,6,FALSE)</f>
        <v>#REF!</v>
      </c>
      <c r="Q54" s="66"/>
      <c r="R54" s="66">
        <f t="shared" si="0"/>
        <v>2</v>
      </c>
      <c r="S54" s="66"/>
    </row>
    <row r="55" spans="1:19" ht="27" customHeight="1">
      <c r="A55" s="190">
        <v>48</v>
      </c>
      <c r="B55" s="190" t="s">
        <v>135</v>
      </c>
      <c r="C55" s="190" t="s">
        <v>67</v>
      </c>
      <c r="D55" s="191">
        <v>6181</v>
      </c>
      <c r="E55" s="191">
        <v>2845</v>
      </c>
      <c r="F55" s="83"/>
      <c r="G55" s="83"/>
      <c r="H55" s="82" t="s">
        <v>495</v>
      </c>
      <c r="I55" s="82" t="s">
        <v>496</v>
      </c>
      <c r="J55" s="84"/>
      <c r="K55" s="194"/>
      <c r="L55" s="84"/>
      <c r="M55" s="87"/>
      <c r="N55" s="117" t="str">
        <f t="shared" si="1"/>
        <v>임조현기 외 1인</v>
      </c>
      <c r="O55" s="66" t="str">
        <f t="shared" si="2"/>
        <v>-</v>
      </c>
      <c r="P55" s="71" t="e">
        <f>VLOOKUP($B55,#REF!,6,FALSE)</f>
        <v>#REF!</v>
      </c>
      <c r="Q55" s="66"/>
      <c r="R55" s="66">
        <f t="shared" si="0"/>
        <v>2</v>
      </c>
      <c r="S55" s="66"/>
    </row>
    <row r="56" spans="1:19" ht="27" customHeight="1">
      <c r="A56" s="190">
        <v>49</v>
      </c>
      <c r="B56" s="190" t="s">
        <v>136</v>
      </c>
      <c r="C56" s="190" t="s">
        <v>67</v>
      </c>
      <c r="D56" s="191">
        <v>108</v>
      </c>
      <c r="E56" s="191">
        <v>108</v>
      </c>
      <c r="F56" s="83"/>
      <c r="G56" s="83"/>
      <c r="H56" s="82" t="s">
        <v>495</v>
      </c>
      <c r="I56" s="82" t="s">
        <v>496</v>
      </c>
      <c r="J56" s="84" t="s">
        <v>551</v>
      </c>
      <c r="K56" s="194" t="s">
        <v>555</v>
      </c>
      <c r="L56" s="84" t="s">
        <v>556</v>
      </c>
      <c r="M56" s="87"/>
      <c r="N56" s="117" t="str">
        <f t="shared" si="1"/>
        <v>임조현기 외 1인</v>
      </c>
      <c r="O56" s="66" t="str">
        <f t="shared" si="2"/>
        <v>-</v>
      </c>
      <c r="P56" s="71" t="e">
        <f>VLOOKUP($B56,#REF!,6,FALSE)</f>
        <v>#REF!</v>
      </c>
      <c r="Q56" s="66"/>
      <c r="R56" s="66">
        <f t="shared" si="0"/>
        <v>2</v>
      </c>
      <c r="S56" s="67"/>
    </row>
    <row r="57" spans="1:19" ht="27" customHeight="1">
      <c r="A57" s="190">
        <v>50</v>
      </c>
      <c r="B57" s="190" t="s">
        <v>137</v>
      </c>
      <c r="C57" s="190" t="s">
        <v>67</v>
      </c>
      <c r="D57" s="191">
        <v>181</v>
      </c>
      <c r="E57" s="191">
        <v>181</v>
      </c>
      <c r="F57" s="83"/>
      <c r="G57" s="83"/>
      <c r="H57" s="82" t="s">
        <v>495</v>
      </c>
      <c r="I57" s="82" t="s">
        <v>496</v>
      </c>
      <c r="J57" s="84"/>
      <c r="K57" s="194"/>
      <c r="L57" s="84"/>
      <c r="M57" s="85" t="s">
        <v>575</v>
      </c>
      <c r="N57" s="117" t="str">
        <f t="shared" si="1"/>
        <v>임조현기 외 1인</v>
      </c>
      <c r="O57" s="66" t="str">
        <f t="shared" si="2"/>
        <v>-</v>
      </c>
      <c r="P57" s="71" t="e">
        <f>VLOOKUP($B57,#REF!,6,FALSE)</f>
        <v>#REF!</v>
      </c>
      <c r="Q57" s="66"/>
      <c r="R57" s="66">
        <f t="shared" si="0"/>
        <v>2</v>
      </c>
      <c r="S57" s="67"/>
    </row>
    <row r="58" spans="1:19" ht="27" customHeight="1">
      <c r="A58" s="190">
        <v>51</v>
      </c>
      <c r="B58" s="190" t="s">
        <v>138</v>
      </c>
      <c r="C58" s="190" t="s">
        <v>67</v>
      </c>
      <c r="D58" s="191">
        <v>10734</v>
      </c>
      <c r="E58" s="191">
        <v>271</v>
      </c>
      <c r="F58" s="83"/>
      <c r="G58" s="83"/>
      <c r="H58" s="82" t="s">
        <v>495</v>
      </c>
      <c r="I58" s="82" t="s">
        <v>496</v>
      </c>
      <c r="J58" s="84"/>
      <c r="K58" s="194"/>
      <c r="L58" s="84"/>
      <c r="M58" s="87"/>
      <c r="N58" s="117" t="str">
        <f t="shared" si="1"/>
        <v>임조현기 외 1인</v>
      </c>
      <c r="O58" s="66" t="str">
        <f t="shared" si="2"/>
        <v>-</v>
      </c>
      <c r="P58" s="71" t="e">
        <f>VLOOKUP($B58,#REF!,6,FALSE)</f>
        <v>#REF!</v>
      </c>
      <c r="Q58" s="66"/>
      <c r="R58" s="66">
        <f t="shared" si="0"/>
        <v>2</v>
      </c>
      <c r="S58" s="67"/>
    </row>
    <row r="59" spans="1:19" ht="27" customHeight="1">
      <c r="A59" s="190">
        <v>52</v>
      </c>
      <c r="B59" s="190">
        <v>509</v>
      </c>
      <c r="C59" s="190" t="s">
        <v>6</v>
      </c>
      <c r="D59" s="191">
        <v>12621</v>
      </c>
      <c r="E59" s="191">
        <v>60</v>
      </c>
      <c r="F59" s="83"/>
      <c r="G59" s="83"/>
      <c r="H59" s="82" t="s">
        <v>310</v>
      </c>
      <c r="I59" s="82" t="s">
        <v>311</v>
      </c>
      <c r="J59" s="84"/>
      <c r="K59" s="194"/>
      <c r="L59" s="84"/>
      <c r="M59" s="87"/>
      <c r="N59" s="117" t="str">
        <f t="shared" si="1"/>
        <v>전국</v>
      </c>
      <c r="O59" s="66" t="str">
        <f t="shared" si="2"/>
        <v>-</v>
      </c>
      <c r="P59" s="71" t="e">
        <f>VLOOKUP($B59,#REF!,6,FALSE)</f>
        <v>#REF!</v>
      </c>
      <c r="Q59" s="66"/>
      <c r="R59" s="66">
        <f t="shared" si="0"/>
        <v>2</v>
      </c>
      <c r="S59" s="67"/>
    </row>
    <row r="60" spans="1:19" ht="27" customHeight="1">
      <c r="A60" s="190">
        <v>53</v>
      </c>
      <c r="B60" s="190" t="s">
        <v>139</v>
      </c>
      <c r="C60" s="190" t="s">
        <v>67</v>
      </c>
      <c r="D60" s="191">
        <v>3045</v>
      </c>
      <c r="E60" s="191">
        <v>3045</v>
      </c>
      <c r="F60" s="83"/>
      <c r="G60" s="83"/>
      <c r="H60" s="82" t="s">
        <v>557</v>
      </c>
      <c r="I60" s="157" t="s">
        <v>558</v>
      </c>
      <c r="J60" s="84" t="s">
        <v>559</v>
      </c>
      <c r="K60" s="194" t="s">
        <v>560</v>
      </c>
      <c r="L60" s="84" t="s">
        <v>542</v>
      </c>
      <c r="M60" s="87"/>
      <c r="N60" s="117" t="str">
        <f t="shared" si="1"/>
        <v>임박진원</v>
      </c>
      <c r="O60" s="66" t="str">
        <f t="shared" si="2"/>
        <v>-</v>
      </c>
      <c r="P60" s="71" t="e">
        <f>VLOOKUP($B60,#REF!,6,FALSE)</f>
        <v>#REF!</v>
      </c>
      <c r="Q60" s="66"/>
      <c r="R60" s="66">
        <f t="shared" si="0"/>
        <v>2</v>
      </c>
      <c r="S60" s="67"/>
    </row>
    <row r="61" spans="1:19" ht="27" customHeight="1">
      <c r="A61" s="190">
        <v>54</v>
      </c>
      <c r="B61" s="190" t="s">
        <v>140</v>
      </c>
      <c r="C61" s="190" t="s">
        <v>67</v>
      </c>
      <c r="D61" s="191">
        <v>1409</v>
      </c>
      <c r="E61" s="191">
        <v>1409</v>
      </c>
      <c r="F61" s="83"/>
      <c r="G61" s="83"/>
      <c r="H61" s="82" t="s">
        <v>557</v>
      </c>
      <c r="I61" s="157" t="s">
        <v>558</v>
      </c>
      <c r="J61" s="84" t="s">
        <v>559</v>
      </c>
      <c r="K61" s="194" t="s">
        <v>560</v>
      </c>
      <c r="L61" s="84" t="s">
        <v>542</v>
      </c>
      <c r="M61" s="87"/>
      <c r="N61" s="117" t="str">
        <f t="shared" si="1"/>
        <v>임박진원</v>
      </c>
      <c r="O61" s="66" t="str">
        <f t="shared" si="2"/>
        <v>-</v>
      </c>
      <c r="P61" s="71" t="e">
        <f>VLOOKUP($B61,#REF!,6,FALSE)</f>
        <v>#REF!</v>
      </c>
      <c r="Q61" s="66"/>
      <c r="R61" s="66">
        <f t="shared" si="0"/>
        <v>2</v>
      </c>
      <c r="S61" s="67"/>
    </row>
    <row r="62" spans="1:19" ht="27" customHeight="1">
      <c r="A62" s="190">
        <v>55</v>
      </c>
      <c r="B62" s="190" t="s">
        <v>141</v>
      </c>
      <c r="C62" s="190" t="s">
        <v>67</v>
      </c>
      <c r="D62" s="191">
        <v>407</v>
      </c>
      <c r="E62" s="191">
        <v>407</v>
      </c>
      <c r="F62" s="83"/>
      <c r="G62" s="83"/>
      <c r="H62" s="82" t="s">
        <v>534</v>
      </c>
      <c r="I62" s="157" t="s">
        <v>535</v>
      </c>
      <c r="J62" s="84"/>
      <c r="K62" s="84"/>
      <c r="L62" s="84"/>
      <c r="M62" s="85" t="s">
        <v>575</v>
      </c>
      <c r="N62" s="117" t="str">
        <f t="shared" si="1"/>
        <v>임조정득</v>
      </c>
      <c r="O62" s="66" t="str">
        <f t="shared" si="2"/>
        <v>-</v>
      </c>
      <c r="P62" s="71" t="e">
        <f>VLOOKUP($B62,#REF!,6,FALSE)</f>
        <v>#REF!</v>
      </c>
      <c r="Q62" s="66"/>
      <c r="R62" s="66">
        <f t="shared" si="0"/>
        <v>2</v>
      </c>
      <c r="S62" s="67"/>
    </row>
    <row r="63" spans="1:19" ht="27" customHeight="1">
      <c r="A63" s="190">
        <v>56</v>
      </c>
      <c r="B63" s="190" t="s">
        <v>142</v>
      </c>
      <c r="C63" s="190" t="s">
        <v>7</v>
      </c>
      <c r="D63" s="191">
        <v>1348</v>
      </c>
      <c r="E63" s="191">
        <v>377</v>
      </c>
      <c r="F63" s="83"/>
      <c r="G63" s="83"/>
      <c r="H63" s="82" t="s">
        <v>403</v>
      </c>
      <c r="I63" s="82">
        <v>469</v>
      </c>
      <c r="J63" s="84"/>
      <c r="K63" s="194"/>
      <c r="L63" s="84"/>
      <c r="M63" s="87"/>
      <c r="N63" s="117" t="str">
        <f t="shared" si="1"/>
        <v>답황보상익</v>
      </c>
      <c r="O63" s="66" t="str">
        <f t="shared" si="2"/>
        <v>-</v>
      </c>
      <c r="P63" s="71" t="e">
        <f>VLOOKUP($B63,#REF!,6,FALSE)</f>
        <v>#REF!</v>
      </c>
      <c r="Q63" s="66"/>
      <c r="R63" s="66">
        <f t="shared" si="0"/>
        <v>2</v>
      </c>
      <c r="S63" s="67"/>
    </row>
    <row r="64" spans="1:19" ht="27" customHeight="1">
      <c r="A64" s="190">
        <v>57</v>
      </c>
      <c r="B64" s="190" t="s">
        <v>143</v>
      </c>
      <c r="C64" s="190" t="s">
        <v>67</v>
      </c>
      <c r="D64" s="191">
        <v>923</v>
      </c>
      <c r="E64" s="191">
        <v>907</v>
      </c>
      <c r="F64" s="83"/>
      <c r="G64" s="83"/>
      <c r="H64" s="82" t="s">
        <v>557</v>
      </c>
      <c r="I64" s="157" t="s">
        <v>558</v>
      </c>
      <c r="J64" s="84" t="s">
        <v>559</v>
      </c>
      <c r="K64" s="194" t="s">
        <v>560</v>
      </c>
      <c r="L64" s="84" t="s">
        <v>542</v>
      </c>
      <c r="M64" s="87"/>
      <c r="N64" s="117" t="str">
        <f t="shared" si="1"/>
        <v>임박진원</v>
      </c>
      <c r="O64" s="66" t="str">
        <f t="shared" si="2"/>
        <v>-</v>
      </c>
      <c r="P64" s="71" t="e">
        <f>VLOOKUP($B64,#REF!,6,FALSE)</f>
        <v>#REF!</v>
      </c>
      <c r="Q64" s="66"/>
      <c r="R64" s="66">
        <f t="shared" si="0"/>
        <v>2</v>
      </c>
      <c r="S64" s="67"/>
    </row>
    <row r="65" spans="1:19" ht="27" customHeight="1">
      <c r="A65" s="190">
        <v>58</v>
      </c>
      <c r="B65" s="190" t="s">
        <v>144</v>
      </c>
      <c r="C65" s="190" t="s">
        <v>67</v>
      </c>
      <c r="D65" s="191">
        <v>144</v>
      </c>
      <c r="E65" s="191">
        <v>110</v>
      </c>
      <c r="F65" s="83"/>
      <c r="G65" s="83"/>
      <c r="H65" s="82" t="s">
        <v>485</v>
      </c>
      <c r="I65" s="82" t="s">
        <v>486</v>
      </c>
      <c r="J65" s="84" t="s">
        <v>561</v>
      </c>
      <c r="K65" s="194"/>
      <c r="L65" s="84" t="s">
        <v>562</v>
      </c>
      <c r="M65" s="87"/>
      <c r="N65" s="117" t="str">
        <f t="shared" si="1"/>
        <v>임조영기 외1인</v>
      </c>
      <c r="O65" s="66" t="str">
        <f t="shared" si="2"/>
        <v>-</v>
      </c>
      <c r="P65" s="71" t="e">
        <f>VLOOKUP($B65,#REF!,6,FALSE)</f>
        <v>#REF!</v>
      </c>
      <c r="Q65" s="66"/>
      <c r="R65" s="66">
        <f t="shared" si="0"/>
        <v>2</v>
      </c>
      <c r="S65" s="67"/>
    </row>
    <row r="66" spans="1:19" ht="27" customHeight="1">
      <c r="A66" s="190">
        <v>59</v>
      </c>
      <c r="B66" s="190" t="s">
        <v>145</v>
      </c>
      <c r="C66" s="190" t="s">
        <v>67</v>
      </c>
      <c r="D66" s="191">
        <v>1784</v>
      </c>
      <c r="E66" s="191">
        <v>110</v>
      </c>
      <c r="F66" s="83"/>
      <c r="G66" s="83"/>
      <c r="H66" s="82" t="s">
        <v>485</v>
      </c>
      <c r="I66" s="82" t="s">
        <v>486</v>
      </c>
      <c r="J66" s="84" t="s">
        <v>561</v>
      </c>
      <c r="K66" s="194"/>
      <c r="L66" s="84" t="s">
        <v>562</v>
      </c>
      <c r="M66" s="87"/>
      <c r="N66" s="117" t="str">
        <f t="shared" si="1"/>
        <v>임조영기 외1인</v>
      </c>
      <c r="O66" s="66" t="str">
        <f t="shared" si="2"/>
        <v>-</v>
      </c>
      <c r="P66" s="71" t="e">
        <f>VLOOKUP($B66,#REF!,6,FALSE)</f>
        <v>#REF!</v>
      </c>
      <c r="Q66" s="66"/>
      <c r="R66" s="66">
        <f t="shared" si="0"/>
        <v>2</v>
      </c>
      <c r="S66" s="67"/>
    </row>
    <row r="67" spans="1:19" ht="27" customHeight="1">
      <c r="A67" s="190">
        <v>60</v>
      </c>
      <c r="B67" s="190" t="s">
        <v>146</v>
      </c>
      <c r="C67" s="190" t="s">
        <v>67</v>
      </c>
      <c r="D67" s="191">
        <v>793</v>
      </c>
      <c r="E67" s="191">
        <v>43</v>
      </c>
      <c r="F67" s="83"/>
      <c r="G67" s="83"/>
      <c r="H67" s="82" t="s">
        <v>487</v>
      </c>
      <c r="I67" s="82" t="s">
        <v>488</v>
      </c>
      <c r="J67" s="84"/>
      <c r="K67" s="194"/>
      <c r="L67" s="84"/>
      <c r="M67" s="85" t="s">
        <v>575</v>
      </c>
      <c r="N67" s="117" t="str">
        <f t="shared" si="1"/>
        <v>임조일권</v>
      </c>
      <c r="O67" s="66" t="str">
        <f t="shared" si="2"/>
        <v>-</v>
      </c>
      <c r="P67" s="71" t="e">
        <f>VLOOKUP($B67,#REF!,6,FALSE)</f>
        <v>#REF!</v>
      </c>
      <c r="Q67" s="56"/>
      <c r="R67" s="66">
        <f t="shared" si="0"/>
        <v>2</v>
      </c>
      <c r="S67" s="66"/>
    </row>
    <row r="68" spans="1:18" s="96" customFormat="1" ht="27" customHeight="1">
      <c r="A68" s="216" t="s">
        <v>61</v>
      </c>
      <c r="B68" s="216"/>
      <c r="C68" s="216"/>
      <c r="D68" s="112"/>
      <c r="E68" s="113">
        <f>SUM(E48:E67)</f>
        <v>12835</v>
      </c>
      <c r="F68" s="114"/>
      <c r="G68" s="114"/>
      <c r="H68" s="112"/>
      <c r="I68" s="112"/>
      <c r="J68" s="115"/>
      <c r="K68" s="115"/>
      <c r="L68" s="115"/>
      <c r="M68" s="116"/>
      <c r="N68" s="117">
        <f t="shared" si="1"/>
      </c>
      <c r="O68" s="118"/>
      <c r="P68" s="119"/>
      <c r="Q68" s="118"/>
      <c r="R68" s="118"/>
    </row>
    <row r="69" spans="1:19" ht="27" customHeight="1">
      <c r="A69" s="190">
        <v>61</v>
      </c>
      <c r="B69" s="190" t="s">
        <v>147</v>
      </c>
      <c r="C69" s="190" t="s">
        <v>67</v>
      </c>
      <c r="D69" s="191">
        <v>99</v>
      </c>
      <c r="E69" s="191">
        <v>19</v>
      </c>
      <c r="F69" s="83"/>
      <c r="G69" s="83"/>
      <c r="H69" s="82" t="s">
        <v>489</v>
      </c>
      <c r="I69" s="82"/>
      <c r="J69" s="84"/>
      <c r="K69" s="84"/>
      <c r="L69" s="84"/>
      <c r="M69" s="85" t="s">
        <v>575</v>
      </c>
      <c r="N69" s="117" t="str">
        <f t="shared" si="1"/>
        <v>임조종흠</v>
      </c>
      <c r="O69" s="66" t="str">
        <f t="shared" si="2"/>
        <v>-</v>
      </c>
      <c r="P69" s="71" t="e">
        <f>VLOOKUP($B69,#REF!,6,FALSE)</f>
        <v>#REF!</v>
      </c>
      <c r="Q69" s="56"/>
      <c r="R69" s="66">
        <f t="shared" si="0"/>
        <v>2</v>
      </c>
      <c r="S69" s="66"/>
    </row>
    <row r="70" spans="1:19" ht="27" customHeight="1">
      <c r="A70" s="190">
        <v>62</v>
      </c>
      <c r="B70" s="190" t="s">
        <v>538</v>
      </c>
      <c r="C70" s="190" t="s">
        <v>539</v>
      </c>
      <c r="D70" s="191">
        <v>612</v>
      </c>
      <c r="E70" s="191">
        <v>1</v>
      </c>
      <c r="F70" s="83"/>
      <c r="G70" s="83"/>
      <c r="H70" s="82" t="s">
        <v>403</v>
      </c>
      <c r="I70" s="82">
        <v>469</v>
      </c>
      <c r="J70" s="84"/>
      <c r="K70" s="194"/>
      <c r="L70" s="84"/>
      <c r="M70" s="87"/>
      <c r="N70" s="117" t="str">
        <f t="shared" si="1"/>
        <v>전황보상익</v>
      </c>
      <c r="O70" s="66" t="str">
        <f t="shared" si="2"/>
        <v>-</v>
      </c>
      <c r="P70" s="71" t="e">
        <f>VLOOKUP($B70,#REF!,6,FALSE)</f>
        <v>#REF!</v>
      </c>
      <c r="Q70" s="56"/>
      <c r="R70" s="66">
        <f t="shared" si="0"/>
        <v>2</v>
      </c>
      <c r="S70" s="66"/>
    </row>
    <row r="71" spans="1:19" ht="27" customHeight="1">
      <c r="A71" s="190">
        <v>63</v>
      </c>
      <c r="B71" s="190" t="s">
        <v>148</v>
      </c>
      <c r="C71" s="190" t="s">
        <v>67</v>
      </c>
      <c r="D71" s="191">
        <v>3033</v>
      </c>
      <c r="E71" s="191">
        <v>1062</v>
      </c>
      <c r="F71" s="83"/>
      <c r="G71" s="83"/>
      <c r="H71" s="82" t="s">
        <v>534</v>
      </c>
      <c r="I71" s="157" t="s">
        <v>535</v>
      </c>
      <c r="J71" s="84"/>
      <c r="K71" s="84"/>
      <c r="L71" s="84"/>
      <c r="M71" s="87"/>
      <c r="N71" s="117" t="str">
        <f aca="true" t="shared" si="3" ref="N71:N134">CONCATENATE(C71,H71)</f>
        <v>임조정득</v>
      </c>
      <c r="O71" s="66" t="str">
        <f t="shared" si="2"/>
        <v>-</v>
      </c>
      <c r="P71" s="71" t="e">
        <f>VLOOKUP($B71,#REF!,6,FALSE)</f>
        <v>#REF!</v>
      </c>
      <c r="Q71" s="56"/>
      <c r="R71" s="66">
        <f t="shared" si="0"/>
        <v>2</v>
      </c>
      <c r="S71" s="66"/>
    </row>
    <row r="72" spans="1:19" ht="27" customHeight="1">
      <c r="A72" s="190">
        <v>64</v>
      </c>
      <c r="B72" s="190" t="s">
        <v>149</v>
      </c>
      <c r="C72" s="190" t="s">
        <v>7</v>
      </c>
      <c r="D72" s="191">
        <v>1115</v>
      </c>
      <c r="E72" s="191">
        <v>1115</v>
      </c>
      <c r="F72" s="83"/>
      <c r="G72" s="83"/>
      <c r="H72" s="82" t="s">
        <v>404</v>
      </c>
      <c r="I72" s="157" t="s">
        <v>405</v>
      </c>
      <c r="J72" s="84"/>
      <c r="K72" s="194"/>
      <c r="L72" s="84"/>
      <c r="M72" s="85" t="s">
        <v>575</v>
      </c>
      <c r="N72" s="117" t="str">
        <f t="shared" si="3"/>
        <v>답김영구</v>
      </c>
      <c r="O72" s="66" t="str">
        <f t="shared" si="2"/>
        <v>-</v>
      </c>
      <c r="P72" s="71" t="e">
        <f>VLOOKUP($B72,#REF!,6,FALSE)</f>
        <v>#REF!</v>
      </c>
      <c r="Q72" s="66"/>
      <c r="R72" s="66">
        <f t="shared" si="0"/>
        <v>2</v>
      </c>
      <c r="S72" s="66"/>
    </row>
    <row r="73" spans="1:19" ht="27" customHeight="1">
      <c r="A73" s="190">
        <v>65</v>
      </c>
      <c r="B73" s="190" t="s">
        <v>150</v>
      </c>
      <c r="C73" s="190" t="s">
        <v>7</v>
      </c>
      <c r="D73" s="191">
        <v>1632</v>
      </c>
      <c r="E73" s="191">
        <v>733</v>
      </c>
      <c r="F73" s="83"/>
      <c r="G73" s="83"/>
      <c r="H73" s="82" t="s">
        <v>401</v>
      </c>
      <c r="I73" s="156" t="s">
        <v>402</v>
      </c>
      <c r="J73" s="84"/>
      <c r="K73" s="194"/>
      <c r="L73" s="84"/>
      <c r="M73" s="87"/>
      <c r="N73" s="117" t="str">
        <f t="shared" si="3"/>
        <v>답이봉학</v>
      </c>
      <c r="O73" s="66" t="str">
        <f t="shared" si="2"/>
        <v>-</v>
      </c>
      <c r="P73" s="71" t="e">
        <f>VLOOKUP($B73,#REF!,6,FALSE)</f>
        <v>#REF!</v>
      </c>
      <c r="Q73" s="66"/>
      <c r="R73" s="66">
        <f aca="true" t="shared" si="4" ref="R73:R139">IF(C73=Q73,0,2)</f>
        <v>2</v>
      </c>
      <c r="S73" s="66"/>
    </row>
    <row r="74" spans="1:19" ht="27" customHeight="1">
      <c r="A74" s="190">
        <v>66</v>
      </c>
      <c r="B74" s="190" t="s">
        <v>151</v>
      </c>
      <c r="C74" s="190" t="s">
        <v>7</v>
      </c>
      <c r="D74" s="191">
        <v>257</v>
      </c>
      <c r="E74" s="191">
        <v>257</v>
      </c>
      <c r="F74" s="83"/>
      <c r="G74" s="83"/>
      <c r="H74" s="82" t="s">
        <v>404</v>
      </c>
      <c r="I74" s="157" t="s">
        <v>405</v>
      </c>
      <c r="J74" s="84"/>
      <c r="K74" s="194"/>
      <c r="L74" s="84"/>
      <c r="M74" s="85" t="s">
        <v>575</v>
      </c>
      <c r="N74" s="117" t="str">
        <f t="shared" si="3"/>
        <v>답김영구</v>
      </c>
      <c r="O74" s="66" t="str">
        <f aca="true" t="shared" si="5" ref="O74:O140">IF(D74&gt;=E74,"-","ERR")</f>
        <v>-</v>
      </c>
      <c r="P74" s="71" t="e">
        <f>VLOOKUP($B74,#REF!,6,FALSE)</f>
        <v>#REF!</v>
      </c>
      <c r="Q74" s="66"/>
      <c r="R74" s="66">
        <f t="shared" si="4"/>
        <v>2</v>
      </c>
      <c r="S74" s="66"/>
    </row>
    <row r="75" spans="1:19" ht="27" customHeight="1">
      <c r="A75" s="190">
        <v>67</v>
      </c>
      <c r="B75" s="190" t="s">
        <v>152</v>
      </c>
      <c r="C75" s="190" t="s">
        <v>153</v>
      </c>
      <c r="D75" s="191">
        <v>2661</v>
      </c>
      <c r="E75" s="191">
        <v>2661</v>
      </c>
      <c r="F75" s="83"/>
      <c r="G75" s="83"/>
      <c r="H75" s="82" t="s">
        <v>533</v>
      </c>
      <c r="I75" s="82" t="s">
        <v>329</v>
      </c>
      <c r="J75" s="84"/>
      <c r="K75" s="194"/>
      <c r="L75" s="84"/>
      <c r="M75" s="87"/>
      <c r="N75" s="117" t="str">
        <f t="shared" si="3"/>
        <v>묘공</v>
      </c>
      <c r="O75" s="66" t="str">
        <f t="shared" si="5"/>
        <v>-</v>
      </c>
      <c r="P75" s="71" t="e">
        <f>VLOOKUP($B75,#REF!,6,FALSE)</f>
        <v>#REF!</v>
      </c>
      <c r="Q75" s="66"/>
      <c r="R75" s="66">
        <f t="shared" si="4"/>
        <v>2</v>
      </c>
      <c r="S75" s="66"/>
    </row>
    <row r="76" spans="1:19" ht="27" customHeight="1">
      <c r="A76" s="190">
        <v>68</v>
      </c>
      <c r="B76" s="190" t="s">
        <v>154</v>
      </c>
      <c r="C76" s="190" t="s">
        <v>153</v>
      </c>
      <c r="D76" s="191">
        <v>584</v>
      </c>
      <c r="E76" s="191">
        <v>70</v>
      </c>
      <c r="F76" s="83"/>
      <c r="G76" s="83"/>
      <c r="H76" s="82" t="s">
        <v>533</v>
      </c>
      <c r="I76" s="82" t="s">
        <v>329</v>
      </c>
      <c r="J76" s="84"/>
      <c r="K76" s="194"/>
      <c r="L76" s="84"/>
      <c r="M76" s="87"/>
      <c r="N76" s="117" t="str">
        <f t="shared" si="3"/>
        <v>묘공</v>
      </c>
      <c r="O76" s="66" t="str">
        <f t="shared" si="5"/>
        <v>-</v>
      </c>
      <c r="P76" s="71" t="e">
        <f>VLOOKUP($B76,#REF!,6,FALSE)</f>
        <v>#REF!</v>
      </c>
      <c r="Q76" s="66"/>
      <c r="R76" s="66">
        <f t="shared" si="4"/>
        <v>2</v>
      </c>
      <c r="S76" s="66"/>
    </row>
    <row r="77" spans="1:19" ht="27" customHeight="1">
      <c r="A77" s="190">
        <v>69</v>
      </c>
      <c r="B77" s="190" t="s">
        <v>155</v>
      </c>
      <c r="C77" s="190" t="s">
        <v>67</v>
      </c>
      <c r="D77" s="191">
        <v>42</v>
      </c>
      <c r="E77" s="191">
        <v>17</v>
      </c>
      <c r="F77" s="83"/>
      <c r="G77" s="83"/>
      <c r="H77" s="82" t="s">
        <v>494</v>
      </c>
      <c r="I77" s="157" t="s">
        <v>419</v>
      </c>
      <c r="J77" s="84"/>
      <c r="K77" s="194"/>
      <c r="L77" s="84"/>
      <c r="M77" s="87"/>
      <c r="N77" s="117" t="str">
        <f t="shared" si="3"/>
        <v>임김기훈 외 1인</v>
      </c>
      <c r="O77" s="66" t="str">
        <f t="shared" si="5"/>
        <v>-</v>
      </c>
      <c r="P77" s="71" t="e">
        <f>VLOOKUP($B77,#REF!,6,FALSE)</f>
        <v>#REF!</v>
      </c>
      <c r="Q77" s="66"/>
      <c r="R77" s="66">
        <f t="shared" si="4"/>
        <v>2</v>
      </c>
      <c r="S77" s="67"/>
    </row>
    <row r="78" spans="1:19" ht="27" customHeight="1">
      <c r="A78" s="190">
        <v>70</v>
      </c>
      <c r="B78" s="190" t="s">
        <v>156</v>
      </c>
      <c r="C78" s="190" t="s">
        <v>67</v>
      </c>
      <c r="D78" s="191">
        <v>110</v>
      </c>
      <c r="E78" s="191">
        <v>110</v>
      </c>
      <c r="F78" s="83"/>
      <c r="G78" s="83"/>
      <c r="H78" s="82" t="s">
        <v>494</v>
      </c>
      <c r="I78" s="157" t="s">
        <v>419</v>
      </c>
      <c r="J78" s="84"/>
      <c r="K78" s="194"/>
      <c r="L78" s="84"/>
      <c r="M78" s="85" t="s">
        <v>575</v>
      </c>
      <c r="N78" s="117" t="str">
        <f t="shared" si="3"/>
        <v>임김기훈 외 1인</v>
      </c>
      <c r="O78" s="66" t="str">
        <f t="shared" si="5"/>
        <v>-</v>
      </c>
      <c r="P78" s="71" t="e">
        <f>VLOOKUP($B78,#REF!,6,FALSE)</f>
        <v>#REF!</v>
      </c>
      <c r="Q78" s="66"/>
      <c r="R78" s="66">
        <f t="shared" si="4"/>
        <v>2</v>
      </c>
      <c r="S78" s="67"/>
    </row>
    <row r="79" spans="1:19" ht="27" customHeight="1">
      <c r="A79" s="190">
        <v>71</v>
      </c>
      <c r="B79" s="190" t="s">
        <v>157</v>
      </c>
      <c r="C79" s="190" t="s">
        <v>6</v>
      </c>
      <c r="D79" s="191">
        <v>669</v>
      </c>
      <c r="E79" s="191">
        <v>184</v>
      </c>
      <c r="F79" s="83"/>
      <c r="G79" s="83"/>
      <c r="H79" s="82" t="s">
        <v>418</v>
      </c>
      <c r="I79" s="157" t="s">
        <v>419</v>
      </c>
      <c r="J79" s="84"/>
      <c r="K79" s="194"/>
      <c r="L79" s="84"/>
      <c r="M79" s="87"/>
      <c r="N79" s="117" t="str">
        <f t="shared" si="3"/>
        <v>전김기훈</v>
      </c>
      <c r="O79" s="66" t="str">
        <f t="shared" si="5"/>
        <v>-</v>
      </c>
      <c r="P79" s="71" t="e">
        <f>VLOOKUP($B79,#REF!,6,FALSE)</f>
        <v>#REF!</v>
      </c>
      <c r="Q79" s="66"/>
      <c r="R79" s="66">
        <f t="shared" si="4"/>
        <v>2</v>
      </c>
      <c r="S79" s="67"/>
    </row>
    <row r="80" spans="1:19" ht="27" customHeight="1">
      <c r="A80" s="190">
        <v>72</v>
      </c>
      <c r="B80" s="190" t="s">
        <v>158</v>
      </c>
      <c r="C80" s="190" t="s">
        <v>6</v>
      </c>
      <c r="D80" s="191">
        <v>1145</v>
      </c>
      <c r="E80" s="191">
        <v>1145</v>
      </c>
      <c r="F80" s="83"/>
      <c r="G80" s="83"/>
      <c r="H80" s="82" t="s">
        <v>418</v>
      </c>
      <c r="I80" s="157" t="s">
        <v>419</v>
      </c>
      <c r="J80" s="84"/>
      <c r="K80" s="194"/>
      <c r="L80" s="84"/>
      <c r="M80" s="85" t="s">
        <v>575</v>
      </c>
      <c r="N80" s="117" t="str">
        <f t="shared" si="3"/>
        <v>전김기훈</v>
      </c>
      <c r="O80" s="66" t="str">
        <f t="shared" si="5"/>
        <v>-</v>
      </c>
      <c r="P80" s="71" t="e">
        <f>VLOOKUP($B80,#REF!,6,FALSE)</f>
        <v>#REF!</v>
      </c>
      <c r="Q80" s="66"/>
      <c r="R80" s="66">
        <f t="shared" si="4"/>
        <v>2</v>
      </c>
      <c r="S80" s="67"/>
    </row>
    <row r="81" spans="1:19" ht="27" customHeight="1">
      <c r="A81" s="190">
        <v>73</v>
      </c>
      <c r="B81" s="190" t="s">
        <v>159</v>
      </c>
      <c r="C81" s="190" t="s">
        <v>67</v>
      </c>
      <c r="D81" s="191">
        <v>2913</v>
      </c>
      <c r="E81" s="191">
        <v>339</v>
      </c>
      <c r="F81" s="83"/>
      <c r="G81" s="83"/>
      <c r="H81" s="82" t="s">
        <v>494</v>
      </c>
      <c r="I81" s="157" t="s">
        <v>419</v>
      </c>
      <c r="J81" s="84"/>
      <c r="K81" s="194"/>
      <c r="L81" s="84"/>
      <c r="M81" s="87"/>
      <c r="N81" s="117" t="str">
        <f t="shared" si="3"/>
        <v>임김기훈 외 1인</v>
      </c>
      <c r="O81" s="66" t="str">
        <f t="shared" si="5"/>
        <v>-</v>
      </c>
      <c r="P81" s="71" t="e">
        <f>VLOOKUP($B81,#REF!,6,FALSE)</f>
        <v>#REF!</v>
      </c>
      <c r="Q81" s="66"/>
      <c r="R81" s="66">
        <f t="shared" si="4"/>
        <v>2</v>
      </c>
      <c r="S81" s="67"/>
    </row>
    <row r="82" spans="1:19" ht="27" customHeight="1">
      <c r="A82" s="190">
        <v>74</v>
      </c>
      <c r="B82" s="190" t="s">
        <v>160</v>
      </c>
      <c r="C82" s="190" t="s">
        <v>67</v>
      </c>
      <c r="D82" s="191">
        <v>2315</v>
      </c>
      <c r="E82" s="191">
        <v>2315</v>
      </c>
      <c r="F82" s="83"/>
      <c r="G82" s="83"/>
      <c r="H82" s="82" t="s">
        <v>494</v>
      </c>
      <c r="I82" s="157" t="s">
        <v>419</v>
      </c>
      <c r="J82" s="84"/>
      <c r="K82" s="194"/>
      <c r="L82" s="84"/>
      <c r="M82" s="85" t="s">
        <v>575</v>
      </c>
      <c r="N82" s="117" t="str">
        <f t="shared" si="3"/>
        <v>임김기훈 외 1인</v>
      </c>
      <c r="O82" s="66" t="str">
        <f t="shared" si="5"/>
        <v>-</v>
      </c>
      <c r="P82" s="71" t="e">
        <f>VLOOKUP($B82,#REF!,6,FALSE)</f>
        <v>#REF!</v>
      </c>
      <c r="Q82" s="66"/>
      <c r="R82" s="66">
        <f t="shared" si="4"/>
        <v>2</v>
      </c>
      <c r="S82" s="67"/>
    </row>
    <row r="83" spans="1:19" ht="27" customHeight="1">
      <c r="A83" s="190">
        <v>75</v>
      </c>
      <c r="B83" s="190" t="s">
        <v>161</v>
      </c>
      <c r="C83" s="190" t="s">
        <v>153</v>
      </c>
      <c r="D83" s="191">
        <v>2705</v>
      </c>
      <c r="E83" s="191">
        <v>1621</v>
      </c>
      <c r="F83" s="83"/>
      <c r="G83" s="83"/>
      <c r="H83" s="82" t="s">
        <v>533</v>
      </c>
      <c r="I83" s="82" t="s">
        <v>329</v>
      </c>
      <c r="J83" s="84"/>
      <c r="K83" s="194"/>
      <c r="L83" s="84"/>
      <c r="M83" s="87"/>
      <c r="N83" s="117" t="str">
        <f t="shared" si="3"/>
        <v>묘공</v>
      </c>
      <c r="O83" s="66" t="str">
        <f t="shared" si="5"/>
        <v>-</v>
      </c>
      <c r="P83" s="71" t="e">
        <f>VLOOKUP($B83,#REF!,6,FALSE)</f>
        <v>#REF!</v>
      </c>
      <c r="Q83" s="66"/>
      <c r="R83" s="66">
        <f t="shared" si="4"/>
        <v>2</v>
      </c>
      <c r="S83" s="67"/>
    </row>
    <row r="84" spans="1:19" ht="27" customHeight="1">
      <c r="A84" s="190">
        <v>76</v>
      </c>
      <c r="B84" s="190" t="s">
        <v>162</v>
      </c>
      <c r="C84" s="190" t="s">
        <v>67</v>
      </c>
      <c r="D84" s="191">
        <v>75</v>
      </c>
      <c r="E84" s="191">
        <v>59</v>
      </c>
      <c r="F84" s="83"/>
      <c r="G84" s="83"/>
      <c r="H84" s="82" t="s">
        <v>494</v>
      </c>
      <c r="I84" s="157" t="s">
        <v>419</v>
      </c>
      <c r="J84" s="84"/>
      <c r="K84" s="194"/>
      <c r="L84" s="84"/>
      <c r="M84" s="85" t="s">
        <v>575</v>
      </c>
      <c r="N84" s="117" t="str">
        <f t="shared" si="3"/>
        <v>임김기훈 외 1인</v>
      </c>
      <c r="O84" s="66" t="str">
        <f t="shared" si="5"/>
        <v>-</v>
      </c>
      <c r="P84" s="71" t="e">
        <f>VLOOKUP($B84,#REF!,6,FALSE)</f>
        <v>#REF!</v>
      </c>
      <c r="Q84" s="66"/>
      <c r="R84" s="66">
        <f t="shared" si="4"/>
        <v>2</v>
      </c>
      <c r="S84" s="67"/>
    </row>
    <row r="85" spans="1:19" ht="27" customHeight="1">
      <c r="A85" s="190">
        <v>77</v>
      </c>
      <c r="B85" s="190">
        <v>430</v>
      </c>
      <c r="C85" s="190" t="s">
        <v>6</v>
      </c>
      <c r="D85" s="191">
        <v>1620</v>
      </c>
      <c r="E85" s="191">
        <v>35</v>
      </c>
      <c r="F85" s="83"/>
      <c r="G85" s="83"/>
      <c r="H85" s="82" t="s">
        <v>418</v>
      </c>
      <c r="I85" s="157" t="s">
        <v>419</v>
      </c>
      <c r="J85" s="84"/>
      <c r="K85" s="194"/>
      <c r="L85" s="84"/>
      <c r="M85" s="87"/>
      <c r="N85" s="117" t="str">
        <f t="shared" si="3"/>
        <v>전김기훈</v>
      </c>
      <c r="O85" s="66" t="str">
        <f t="shared" si="5"/>
        <v>-</v>
      </c>
      <c r="P85" s="71" t="e">
        <f>VLOOKUP($B85,#REF!,6,FALSE)</f>
        <v>#REF!</v>
      </c>
      <c r="Q85" s="66"/>
      <c r="R85" s="66">
        <f t="shared" si="4"/>
        <v>2</v>
      </c>
      <c r="S85" s="67"/>
    </row>
    <row r="86" spans="1:19" ht="27" customHeight="1">
      <c r="A86" s="190">
        <v>78</v>
      </c>
      <c r="B86" s="190" t="s">
        <v>163</v>
      </c>
      <c r="C86" s="190" t="s">
        <v>6</v>
      </c>
      <c r="D86" s="191">
        <v>801</v>
      </c>
      <c r="E86" s="191">
        <v>659</v>
      </c>
      <c r="F86" s="83"/>
      <c r="G86" s="83"/>
      <c r="H86" s="82" t="s">
        <v>435</v>
      </c>
      <c r="I86" s="82" t="s">
        <v>436</v>
      </c>
      <c r="J86" s="84"/>
      <c r="K86" s="194"/>
      <c r="L86" s="84"/>
      <c r="M86" s="87"/>
      <c r="N86" s="117" t="str">
        <f t="shared" si="3"/>
        <v>전김종석</v>
      </c>
      <c r="O86" s="66" t="str">
        <f t="shared" si="5"/>
        <v>-</v>
      </c>
      <c r="P86" s="71" t="e">
        <f>VLOOKUP($B86,#REF!,6,FALSE)</f>
        <v>#REF!</v>
      </c>
      <c r="Q86" s="66"/>
      <c r="R86" s="66">
        <f t="shared" si="4"/>
        <v>2</v>
      </c>
      <c r="S86" s="67"/>
    </row>
    <row r="87" spans="1:19" ht="27" customHeight="1">
      <c r="A87" s="190">
        <v>79</v>
      </c>
      <c r="B87" s="190" t="s">
        <v>164</v>
      </c>
      <c r="C87" s="190" t="s">
        <v>6</v>
      </c>
      <c r="D87" s="191">
        <v>483</v>
      </c>
      <c r="E87" s="191">
        <v>483</v>
      </c>
      <c r="F87" s="83"/>
      <c r="G87" s="83"/>
      <c r="H87" s="82" t="s">
        <v>433</v>
      </c>
      <c r="I87" s="157" t="s">
        <v>434</v>
      </c>
      <c r="J87" s="84"/>
      <c r="K87" s="194"/>
      <c r="L87" s="84"/>
      <c r="M87" s="87"/>
      <c r="N87" s="117" t="str">
        <f t="shared" si="3"/>
        <v>전김기환</v>
      </c>
      <c r="O87" s="66" t="str">
        <f t="shared" si="5"/>
        <v>-</v>
      </c>
      <c r="P87" s="71" t="e">
        <f>VLOOKUP($B87,#REF!,6,FALSE)</f>
        <v>#REF!</v>
      </c>
      <c r="Q87" s="66"/>
      <c r="R87" s="66">
        <f t="shared" si="4"/>
        <v>2</v>
      </c>
      <c r="S87" s="67"/>
    </row>
    <row r="88" spans="1:19" ht="27" customHeight="1">
      <c r="A88" s="190">
        <v>80</v>
      </c>
      <c r="B88" s="190" t="s">
        <v>165</v>
      </c>
      <c r="C88" s="190" t="s">
        <v>6</v>
      </c>
      <c r="D88" s="191">
        <v>1061</v>
      </c>
      <c r="E88" s="191">
        <v>1061</v>
      </c>
      <c r="F88" s="83"/>
      <c r="G88" s="83"/>
      <c r="H88" s="82" t="s">
        <v>433</v>
      </c>
      <c r="I88" s="157" t="s">
        <v>434</v>
      </c>
      <c r="J88" s="84"/>
      <c r="K88" s="194"/>
      <c r="L88" s="84"/>
      <c r="M88" s="85" t="s">
        <v>575</v>
      </c>
      <c r="N88" s="117" t="str">
        <f t="shared" si="3"/>
        <v>전김기환</v>
      </c>
      <c r="O88" s="66" t="str">
        <f t="shared" si="5"/>
        <v>-</v>
      </c>
      <c r="P88" s="71" t="e">
        <f>VLOOKUP($B88,#REF!,6,FALSE)</f>
        <v>#REF!</v>
      </c>
      <c r="Q88" s="56"/>
      <c r="R88" s="66">
        <f t="shared" si="4"/>
        <v>2</v>
      </c>
      <c r="S88" s="66"/>
    </row>
    <row r="89" spans="1:18" s="96" customFormat="1" ht="27" customHeight="1">
      <c r="A89" s="216" t="s">
        <v>61</v>
      </c>
      <c r="B89" s="216"/>
      <c r="C89" s="216"/>
      <c r="D89" s="112"/>
      <c r="E89" s="113">
        <f>SUM(E69:E88)</f>
        <v>13946</v>
      </c>
      <c r="F89" s="114"/>
      <c r="G89" s="114"/>
      <c r="H89" s="112"/>
      <c r="I89" s="112"/>
      <c r="J89" s="115"/>
      <c r="K89" s="115"/>
      <c r="L89" s="115"/>
      <c r="M89" s="116"/>
      <c r="N89" s="117">
        <f t="shared" si="3"/>
      </c>
      <c r="O89" s="118"/>
      <c r="P89" s="119"/>
      <c r="Q89" s="118"/>
      <c r="R89" s="118"/>
    </row>
    <row r="90" spans="1:19" ht="27" customHeight="1">
      <c r="A90" s="190">
        <v>81</v>
      </c>
      <c r="B90" s="190" t="s">
        <v>166</v>
      </c>
      <c r="C90" s="190" t="s">
        <v>67</v>
      </c>
      <c r="D90" s="191">
        <v>2184</v>
      </c>
      <c r="E90" s="191">
        <v>319</v>
      </c>
      <c r="F90" s="83"/>
      <c r="G90" s="83"/>
      <c r="H90" s="82" t="s">
        <v>494</v>
      </c>
      <c r="I90" s="157" t="s">
        <v>419</v>
      </c>
      <c r="J90" s="84"/>
      <c r="K90" s="194"/>
      <c r="L90" s="84"/>
      <c r="M90" s="85" t="s">
        <v>575</v>
      </c>
      <c r="N90" s="117" t="str">
        <f t="shared" si="3"/>
        <v>임김기훈 외 1인</v>
      </c>
      <c r="O90" s="66" t="str">
        <f t="shared" si="5"/>
        <v>-</v>
      </c>
      <c r="P90" s="71" t="e">
        <f>VLOOKUP($B90,#REF!,6,FALSE)</f>
        <v>#REF!</v>
      </c>
      <c r="Q90" s="56"/>
      <c r="R90" s="66">
        <f t="shared" si="4"/>
        <v>2</v>
      </c>
      <c r="S90" s="66"/>
    </row>
    <row r="91" spans="1:19" ht="27" customHeight="1">
      <c r="A91" s="190">
        <v>82</v>
      </c>
      <c r="B91" s="190" t="s">
        <v>167</v>
      </c>
      <c r="C91" s="190" t="s">
        <v>6</v>
      </c>
      <c r="D91" s="191">
        <v>1089</v>
      </c>
      <c r="E91" s="191">
        <v>1089</v>
      </c>
      <c r="F91" s="83"/>
      <c r="G91" s="83"/>
      <c r="H91" s="82" t="s">
        <v>533</v>
      </c>
      <c r="I91" s="84" t="s">
        <v>312</v>
      </c>
      <c r="J91" s="84"/>
      <c r="K91" s="194"/>
      <c r="L91" s="84"/>
      <c r="M91" s="87"/>
      <c r="N91" s="117" t="str">
        <f t="shared" si="3"/>
        <v>전공</v>
      </c>
      <c r="O91" s="66" t="str">
        <f t="shared" si="5"/>
        <v>-</v>
      </c>
      <c r="P91" s="71" t="e">
        <f>VLOOKUP($B91,#REF!,6,FALSE)</f>
        <v>#REF!</v>
      </c>
      <c r="Q91" s="56"/>
      <c r="R91" s="66">
        <f t="shared" si="4"/>
        <v>2</v>
      </c>
      <c r="S91" s="66"/>
    </row>
    <row r="92" spans="1:19" ht="27" customHeight="1">
      <c r="A92" s="190">
        <v>83</v>
      </c>
      <c r="B92" s="190">
        <v>536</v>
      </c>
      <c r="C92" s="190" t="s">
        <v>6</v>
      </c>
      <c r="D92" s="191">
        <v>129</v>
      </c>
      <c r="E92" s="191">
        <v>49</v>
      </c>
      <c r="F92" s="83"/>
      <c r="G92" s="83"/>
      <c r="H92" s="82" t="s">
        <v>389</v>
      </c>
      <c r="I92" s="157" t="s">
        <v>390</v>
      </c>
      <c r="J92" s="84"/>
      <c r="K92" s="194"/>
      <c r="L92" s="84"/>
      <c r="M92" s="87"/>
      <c r="N92" s="117" t="str">
        <f t="shared" si="3"/>
        <v>전양유진</v>
      </c>
      <c r="O92" s="66" t="str">
        <f t="shared" si="5"/>
        <v>-</v>
      </c>
      <c r="P92" s="71" t="e">
        <f>VLOOKUP($B92,#REF!,6,FALSE)</f>
        <v>#REF!</v>
      </c>
      <c r="Q92" s="56"/>
      <c r="R92" s="66">
        <f t="shared" si="4"/>
        <v>2</v>
      </c>
      <c r="S92" s="66"/>
    </row>
    <row r="93" spans="1:19" ht="27" customHeight="1">
      <c r="A93" s="190">
        <v>84</v>
      </c>
      <c r="B93" s="190" t="s">
        <v>168</v>
      </c>
      <c r="C93" s="190" t="s">
        <v>67</v>
      </c>
      <c r="D93" s="191">
        <v>546</v>
      </c>
      <c r="E93" s="191">
        <v>479</v>
      </c>
      <c r="F93" s="83"/>
      <c r="G93" s="83"/>
      <c r="H93" s="82" t="s">
        <v>490</v>
      </c>
      <c r="I93" s="157" t="s">
        <v>491</v>
      </c>
      <c r="J93" s="84"/>
      <c r="K93" s="194"/>
      <c r="L93" s="84"/>
      <c r="M93" s="87"/>
      <c r="N93" s="117" t="str">
        <f t="shared" si="3"/>
        <v>임김일수</v>
      </c>
      <c r="O93" s="66" t="str">
        <f t="shared" si="5"/>
        <v>-</v>
      </c>
      <c r="P93" s="71" t="e">
        <f>VLOOKUP($B93,#REF!,6,FALSE)</f>
        <v>#REF!</v>
      </c>
      <c r="Q93" s="66"/>
      <c r="R93" s="66">
        <f t="shared" si="4"/>
        <v>2</v>
      </c>
      <c r="S93" s="66"/>
    </row>
    <row r="94" spans="1:19" ht="27" customHeight="1">
      <c r="A94" s="190">
        <v>85</v>
      </c>
      <c r="B94" s="190" t="s">
        <v>169</v>
      </c>
      <c r="C94" s="190" t="s">
        <v>67</v>
      </c>
      <c r="D94" s="191">
        <v>2343</v>
      </c>
      <c r="E94" s="191">
        <v>2343</v>
      </c>
      <c r="F94" s="83"/>
      <c r="G94" s="83"/>
      <c r="H94" s="82" t="s">
        <v>533</v>
      </c>
      <c r="I94" s="82" t="s">
        <v>312</v>
      </c>
      <c r="J94" s="84"/>
      <c r="K94" s="194"/>
      <c r="L94" s="84"/>
      <c r="M94" s="87"/>
      <c r="N94" s="117" t="str">
        <f t="shared" si="3"/>
        <v>임공</v>
      </c>
      <c r="O94" s="66" t="str">
        <f t="shared" si="5"/>
        <v>-</v>
      </c>
      <c r="P94" s="71" t="e">
        <f>VLOOKUP($B94,#REF!,6,FALSE)</f>
        <v>#REF!</v>
      </c>
      <c r="Q94" s="66"/>
      <c r="R94" s="66">
        <f t="shared" si="4"/>
        <v>2</v>
      </c>
      <c r="S94" s="66"/>
    </row>
    <row r="95" spans="1:19" ht="27" customHeight="1">
      <c r="A95" s="190">
        <v>86</v>
      </c>
      <c r="B95" s="190" t="s">
        <v>170</v>
      </c>
      <c r="C95" s="190" t="s">
        <v>67</v>
      </c>
      <c r="D95" s="191">
        <v>1935</v>
      </c>
      <c r="E95" s="191">
        <v>977</v>
      </c>
      <c r="F95" s="83"/>
      <c r="G95" s="83"/>
      <c r="H95" s="82" t="s">
        <v>506</v>
      </c>
      <c r="I95" s="156" t="s">
        <v>507</v>
      </c>
      <c r="J95" s="84"/>
      <c r="K95" s="194"/>
      <c r="L95" s="84"/>
      <c r="M95" s="87"/>
      <c r="N95" s="117" t="str">
        <f t="shared" si="3"/>
        <v>임손일락</v>
      </c>
      <c r="O95" s="66" t="str">
        <f t="shared" si="5"/>
        <v>-</v>
      </c>
      <c r="P95" s="71" t="e">
        <f>VLOOKUP($B95,#REF!,6,FALSE)</f>
        <v>#REF!</v>
      </c>
      <c r="Q95" s="66"/>
      <c r="R95" s="66">
        <f t="shared" si="4"/>
        <v>2</v>
      </c>
      <c r="S95" s="66"/>
    </row>
    <row r="96" spans="1:19" ht="27" customHeight="1">
      <c r="A96" s="190">
        <v>87</v>
      </c>
      <c r="B96" s="190" t="s">
        <v>171</v>
      </c>
      <c r="C96" s="190" t="s">
        <v>67</v>
      </c>
      <c r="D96" s="191">
        <v>1302</v>
      </c>
      <c r="E96" s="191">
        <v>1302</v>
      </c>
      <c r="F96" s="83"/>
      <c r="G96" s="83"/>
      <c r="H96" s="82" t="s">
        <v>533</v>
      </c>
      <c r="I96" s="82" t="s">
        <v>312</v>
      </c>
      <c r="J96" s="84"/>
      <c r="K96" s="194"/>
      <c r="L96" s="84"/>
      <c r="M96" s="87"/>
      <c r="N96" s="117" t="str">
        <f t="shared" si="3"/>
        <v>임공</v>
      </c>
      <c r="O96" s="66" t="str">
        <f t="shared" si="5"/>
        <v>-</v>
      </c>
      <c r="P96" s="71" t="e">
        <f>VLOOKUP($B96,#REF!,6,FALSE)</f>
        <v>#REF!</v>
      </c>
      <c r="Q96" s="66"/>
      <c r="R96" s="66">
        <f t="shared" si="4"/>
        <v>2</v>
      </c>
      <c r="S96" s="66"/>
    </row>
    <row r="97" spans="1:19" ht="27" customHeight="1">
      <c r="A97" s="190">
        <v>88</v>
      </c>
      <c r="B97" s="190">
        <v>537</v>
      </c>
      <c r="C97" s="190" t="s">
        <v>7</v>
      </c>
      <c r="D97" s="191">
        <v>1061</v>
      </c>
      <c r="E97" s="191">
        <v>378</v>
      </c>
      <c r="F97" s="83"/>
      <c r="G97" s="83"/>
      <c r="H97" s="82" t="s">
        <v>391</v>
      </c>
      <c r="I97" s="157" t="s">
        <v>392</v>
      </c>
      <c r="J97" s="84"/>
      <c r="K97" s="194"/>
      <c r="L97" s="84"/>
      <c r="M97" s="87"/>
      <c r="N97" s="117" t="str">
        <f t="shared" si="3"/>
        <v>답백옥선</v>
      </c>
      <c r="O97" s="66" t="str">
        <f t="shared" si="5"/>
        <v>-</v>
      </c>
      <c r="P97" s="71" t="e">
        <f>VLOOKUP($B97,#REF!,6,FALSE)</f>
        <v>#REF!</v>
      </c>
      <c r="Q97" s="66"/>
      <c r="R97" s="66">
        <f t="shared" si="4"/>
        <v>2</v>
      </c>
      <c r="S97" s="66"/>
    </row>
    <row r="98" spans="1:19" ht="27" customHeight="1">
      <c r="A98" s="190">
        <v>89</v>
      </c>
      <c r="B98" s="190" t="s">
        <v>172</v>
      </c>
      <c r="C98" s="190" t="s">
        <v>7</v>
      </c>
      <c r="D98" s="191">
        <v>1308</v>
      </c>
      <c r="E98" s="191">
        <v>1308</v>
      </c>
      <c r="F98" s="83"/>
      <c r="G98" s="83"/>
      <c r="H98" s="82" t="s">
        <v>533</v>
      </c>
      <c r="I98" s="82" t="s">
        <v>410</v>
      </c>
      <c r="J98" s="84"/>
      <c r="K98" s="194"/>
      <c r="L98" s="84"/>
      <c r="M98" s="87"/>
      <c r="N98" s="117" t="str">
        <f t="shared" si="3"/>
        <v>답공</v>
      </c>
      <c r="O98" s="66" t="str">
        <f t="shared" si="5"/>
        <v>-</v>
      </c>
      <c r="P98" s="71" t="e">
        <f>VLOOKUP($B98,#REF!,6,FALSE)</f>
        <v>#REF!</v>
      </c>
      <c r="Q98" s="66"/>
      <c r="R98" s="66">
        <f t="shared" si="4"/>
        <v>2</v>
      </c>
      <c r="S98" s="67"/>
    </row>
    <row r="99" spans="1:19" ht="27" customHeight="1">
      <c r="A99" s="190">
        <v>90</v>
      </c>
      <c r="B99" s="190">
        <v>429</v>
      </c>
      <c r="C99" s="190" t="s">
        <v>6</v>
      </c>
      <c r="D99" s="191">
        <v>644</v>
      </c>
      <c r="E99" s="191">
        <v>273</v>
      </c>
      <c r="F99" s="83"/>
      <c r="G99" s="83"/>
      <c r="H99" s="82" t="s">
        <v>389</v>
      </c>
      <c r="I99" s="157" t="s">
        <v>390</v>
      </c>
      <c r="J99" s="84"/>
      <c r="K99" s="194"/>
      <c r="L99" s="84"/>
      <c r="M99" s="87"/>
      <c r="N99" s="117" t="str">
        <f t="shared" si="3"/>
        <v>전양유진</v>
      </c>
      <c r="O99" s="66" t="str">
        <f t="shared" si="5"/>
        <v>-</v>
      </c>
      <c r="P99" s="71" t="e">
        <f>VLOOKUP($B99,#REF!,6,FALSE)</f>
        <v>#REF!</v>
      </c>
      <c r="Q99" s="66"/>
      <c r="R99" s="66">
        <f t="shared" si="4"/>
        <v>2</v>
      </c>
      <c r="S99" s="67"/>
    </row>
    <row r="100" spans="1:19" ht="27" customHeight="1">
      <c r="A100" s="190">
        <v>91</v>
      </c>
      <c r="B100" s="190" t="s">
        <v>173</v>
      </c>
      <c r="C100" s="190" t="s">
        <v>6</v>
      </c>
      <c r="D100" s="191">
        <v>44</v>
      </c>
      <c r="E100" s="191">
        <v>44</v>
      </c>
      <c r="F100" s="83"/>
      <c r="G100" s="83"/>
      <c r="H100" s="82" t="s">
        <v>533</v>
      </c>
      <c r="I100" s="82" t="s">
        <v>410</v>
      </c>
      <c r="J100" s="84"/>
      <c r="K100" s="194"/>
      <c r="L100" s="84"/>
      <c r="M100" s="87"/>
      <c r="N100" s="117" t="str">
        <f t="shared" si="3"/>
        <v>전공</v>
      </c>
      <c r="O100" s="66" t="str">
        <f t="shared" si="5"/>
        <v>-</v>
      </c>
      <c r="P100" s="71" t="e">
        <f>VLOOKUP($B100,#REF!,6,FALSE)</f>
        <v>#REF!</v>
      </c>
      <c r="Q100" s="66"/>
      <c r="R100" s="66">
        <f t="shared" si="4"/>
        <v>2</v>
      </c>
      <c r="S100" s="67"/>
    </row>
    <row r="101" spans="1:19" ht="27" customHeight="1">
      <c r="A101" s="190">
        <v>92</v>
      </c>
      <c r="B101" s="190" t="s">
        <v>174</v>
      </c>
      <c r="C101" s="190" t="s">
        <v>6</v>
      </c>
      <c r="D101" s="191">
        <v>36</v>
      </c>
      <c r="E101" s="191">
        <v>36</v>
      </c>
      <c r="F101" s="83"/>
      <c r="G101" s="83"/>
      <c r="H101" s="82" t="s">
        <v>389</v>
      </c>
      <c r="I101" s="157" t="s">
        <v>390</v>
      </c>
      <c r="J101" s="84"/>
      <c r="K101" s="194"/>
      <c r="L101" s="84"/>
      <c r="M101" s="87"/>
      <c r="N101" s="117" t="str">
        <f t="shared" si="3"/>
        <v>전양유진</v>
      </c>
      <c r="O101" s="66" t="str">
        <f t="shared" si="5"/>
        <v>-</v>
      </c>
      <c r="P101" s="71" t="e">
        <f>VLOOKUP($B101,#REF!,6,FALSE)</f>
        <v>#REF!</v>
      </c>
      <c r="Q101" s="66"/>
      <c r="R101" s="66">
        <f t="shared" si="4"/>
        <v>2</v>
      </c>
      <c r="S101" s="67"/>
    </row>
    <row r="102" spans="1:19" ht="27" customHeight="1">
      <c r="A102" s="190">
        <v>93</v>
      </c>
      <c r="B102" s="190" t="s">
        <v>175</v>
      </c>
      <c r="C102" s="190" t="s">
        <v>67</v>
      </c>
      <c r="D102" s="191">
        <v>4338</v>
      </c>
      <c r="E102" s="191">
        <v>89</v>
      </c>
      <c r="F102" s="83"/>
      <c r="G102" s="83"/>
      <c r="H102" s="82" t="s">
        <v>508</v>
      </c>
      <c r="I102" s="82" t="s">
        <v>509</v>
      </c>
      <c r="J102" s="84"/>
      <c r="K102" s="194"/>
      <c r="L102" s="84"/>
      <c r="M102" s="87"/>
      <c r="N102" s="117" t="str">
        <f t="shared" si="3"/>
        <v>임이군형 외 1인</v>
      </c>
      <c r="O102" s="66" t="str">
        <f t="shared" si="5"/>
        <v>-</v>
      </c>
      <c r="P102" s="71" t="e">
        <f>VLOOKUP($B102,#REF!,6,FALSE)</f>
        <v>#REF!</v>
      </c>
      <c r="Q102" s="66"/>
      <c r="R102" s="66">
        <f t="shared" si="4"/>
        <v>2</v>
      </c>
      <c r="S102" s="67"/>
    </row>
    <row r="103" spans="1:19" ht="27" customHeight="1">
      <c r="A103" s="190">
        <v>94</v>
      </c>
      <c r="B103" s="190" t="s">
        <v>176</v>
      </c>
      <c r="C103" s="190" t="s">
        <v>67</v>
      </c>
      <c r="D103" s="191">
        <v>588</v>
      </c>
      <c r="E103" s="191">
        <v>476</v>
      </c>
      <c r="F103" s="83"/>
      <c r="G103" s="83"/>
      <c r="H103" s="82" t="s">
        <v>493</v>
      </c>
      <c r="I103" s="82" t="s">
        <v>492</v>
      </c>
      <c r="J103" s="84"/>
      <c r="K103" s="194"/>
      <c r="L103" s="84"/>
      <c r="M103" s="87"/>
      <c r="N103" s="117" t="str">
        <f t="shared" si="3"/>
        <v>임김무룡</v>
      </c>
      <c r="O103" s="66" t="str">
        <f t="shared" si="5"/>
        <v>-</v>
      </c>
      <c r="P103" s="71" t="e">
        <f>VLOOKUP($B103,#REF!,6,FALSE)</f>
        <v>#REF!</v>
      </c>
      <c r="Q103" s="66"/>
      <c r="R103" s="66">
        <f t="shared" si="4"/>
        <v>2</v>
      </c>
      <c r="S103" s="67"/>
    </row>
    <row r="104" spans="1:19" ht="27" customHeight="1">
      <c r="A104" s="190">
        <v>95</v>
      </c>
      <c r="B104" s="190" t="s">
        <v>177</v>
      </c>
      <c r="C104" s="190" t="s">
        <v>6</v>
      </c>
      <c r="D104" s="191">
        <v>2468</v>
      </c>
      <c r="E104" s="191">
        <v>804</v>
      </c>
      <c r="F104" s="83"/>
      <c r="G104" s="83"/>
      <c r="H104" s="82" t="s">
        <v>431</v>
      </c>
      <c r="I104" s="82" t="s">
        <v>432</v>
      </c>
      <c r="J104" s="204" t="s">
        <v>553</v>
      </c>
      <c r="K104" s="194" t="s">
        <v>554</v>
      </c>
      <c r="L104" s="84" t="s">
        <v>549</v>
      </c>
      <c r="M104" s="87"/>
      <c r="N104" s="117" t="str">
        <f t="shared" si="3"/>
        <v>전이도형외 1인</v>
      </c>
      <c r="O104" s="66" t="str">
        <f t="shared" si="5"/>
        <v>-</v>
      </c>
      <c r="P104" s="71" t="e">
        <f>VLOOKUP($B104,#REF!,6,FALSE)</f>
        <v>#REF!</v>
      </c>
      <c r="Q104" s="66"/>
      <c r="R104" s="66">
        <f t="shared" si="4"/>
        <v>2</v>
      </c>
      <c r="S104" s="67"/>
    </row>
    <row r="105" spans="1:19" ht="27" customHeight="1">
      <c r="A105" s="190">
        <v>96</v>
      </c>
      <c r="B105" s="190" t="s">
        <v>178</v>
      </c>
      <c r="C105" s="190" t="s">
        <v>6</v>
      </c>
      <c r="D105" s="191">
        <v>430</v>
      </c>
      <c r="E105" s="191">
        <v>430</v>
      </c>
      <c r="F105" s="83"/>
      <c r="G105" s="83"/>
      <c r="H105" s="82" t="s">
        <v>431</v>
      </c>
      <c r="I105" s="82" t="s">
        <v>432</v>
      </c>
      <c r="J105" s="84"/>
      <c r="K105" s="194"/>
      <c r="L105" s="84"/>
      <c r="M105" s="87"/>
      <c r="N105" s="117" t="str">
        <f t="shared" si="3"/>
        <v>전이도형외 1인</v>
      </c>
      <c r="O105" s="66" t="str">
        <f t="shared" si="5"/>
        <v>-</v>
      </c>
      <c r="P105" s="71" t="e">
        <f>VLOOKUP($B105,#REF!,6,FALSE)</f>
        <v>#REF!</v>
      </c>
      <c r="Q105" s="66"/>
      <c r="R105" s="66">
        <f t="shared" si="4"/>
        <v>2</v>
      </c>
      <c r="S105" s="67"/>
    </row>
    <row r="106" spans="1:19" ht="27" customHeight="1">
      <c r="A106" s="190">
        <v>97</v>
      </c>
      <c r="B106" s="190" t="s">
        <v>179</v>
      </c>
      <c r="C106" s="190" t="s">
        <v>6</v>
      </c>
      <c r="D106" s="191">
        <v>1590</v>
      </c>
      <c r="E106" s="191">
        <v>238</v>
      </c>
      <c r="F106" s="83"/>
      <c r="G106" s="83"/>
      <c r="H106" s="82" t="s">
        <v>430</v>
      </c>
      <c r="I106" s="82">
        <v>401</v>
      </c>
      <c r="J106" s="84"/>
      <c r="K106" s="194"/>
      <c r="L106" s="84"/>
      <c r="M106" s="85" t="s">
        <v>575</v>
      </c>
      <c r="N106" s="117" t="str">
        <f t="shared" si="3"/>
        <v>전김순구</v>
      </c>
      <c r="O106" s="66" t="str">
        <f t="shared" si="5"/>
        <v>-</v>
      </c>
      <c r="P106" s="71" t="e">
        <f>VLOOKUP($B106,#REF!,6,FALSE)</f>
        <v>#REF!</v>
      </c>
      <c r="Q106" s="66"/>
      <c r="R106" s="66">
        <f t="shared" si="4"/>
        <v>2</v>
      </c>
      <c r="S106" s="67"/>
    </row>
    <row r="107" spans="1:19" ht="27" customHeight="1">
      <c r="A107" s="190">
        <v>98</v>
      </c>
      <c r="B107" s="190" t="s">
        <v>180</v>
      </c>
      <c r="C107" s="190" t="s">
        <v>67</v>
      </c>
      <c r="D107" s="191">
        <v>748</v>
      </c>
      <c r="E107" s="191">
        <v>748</v>
      </c>
      <c r="F107" s="83"/>
      <c r="G107" s="83"/>
      <c r="H107" s="82" t="s">
        <v>533</v>
      </c>
      <c r="I107" s="82" t="s">
        <v>312</v>
      </c>
      <c r="J107" s="84"/>
      <c r="K107" s="194"/>
      <c r="L107" s="84"/>
      <c r="M107" s="87"/>
      <c r="N107" s="117" t="str">
        <f t="shared" si="3"/>
        <v>임공</v>
      </c>
      <c r="O107" s="66" t="str">
        <f t="shared" si="5"/>
        <v>-</v>
      </c>
      <c r="P107" s="71" t="e">
        <f>VLOOKUP($B107,#REF!,6,FALSE)</f>
        <v>#REF!</v>
      </c>
      <c r="Q107" s="66"/>
      <c r="R107" s="66">
        <f t="shared" si="4"/>
        <v>2</v>
      </c>
      <c r="S107" s="67"/>
    </row>
    <row r="108" spans="1:19" ht="27" customHeight="1">
      <c r="A108" s="190">
        <v>99</v>
      </c>
      <c r="B108" s="190" t="s">
        <v>181</v>
      </c>
      <c r="C108" s="190" t="s">
        <v>67</v>
      </c>
      <c r="D108" s="191">
        <v>217</v>
      </c>
      <c r="E108" s="191">
        <v>217</v>
      </c>
      <c r="F108" s="83"/>
      <c r="G108" s="83"/>
      <c r="H108" s="82" t="s">
        <v>536</v>
      </c>
      <c r="I108" s="82">
        <v>410</v>
      </c>
      <c r="J108" s="84"/>
      <c r="K108" s="84"/>
      <c r="L108" s="84"/>
      <c r="M108" s="87"/>
      <c r="N108" s="117" t="str">
        <f t="shared" si="3"/>
        <v>임김도환</v>
      </c>
      <c r="O108" s="66" t="str">
        <f t="shared" si="5"/>
        <v>-</v>
      </c>
      <c r="P108" s="71" t="e">
        <f>VLOOKUP($B108,#REF!,6,FALSE)</f>
        <v>#REF!</v>
      </c>
      <c r="Q108" s="66"/>
      <c r="R108" s="66">
        <f t="shared" si="4"/>
        <v>2</v>
      </c>
      <c r="S108" s="67"/>
    </row>
    <row r="109" spans="1:19" ht="27" customHeight="1">
      <c r="A109" s="190">
        <v>100</v>
      </c>
      <c r="B109" s="190" t="s">
        <v>182</v>
      </c>
      <c r="C109" s="190" t="s">
        <v>6</v>
      </c>
      <c r="D109" s="191">
        <v>394</v>
      </c>
      <c r="E109" s="191">
        <v>161</v>
      </c>
      <c r="F109" s="83"/>
      <c r="G109" s="83"/>
      <c r="H109" s="82" t="s">
        <v>416</v>
      </c>
      <c r="I109" s="82" t="s">
        <v>417</v>
      </c>
      <c r="J109" s="84"/>
      <c r="K109" s="84"/>
      <c r="L109" s="84"/>
      <c r="M109" s="87"/>
      <c r="N109" s="117" t="str">
        <f t="shared" si="3"/>
        <v>전오진률</v>
      </c>
      <c r="O109" s="66" t="str">
        <f t="shared" si="5"/>
        <v>-</v>
      </c>
      <c r="P109" s="71" t="e">
        <f>VLOOKUP($B109,#REF!,6,FALSE)</f>
        <v>#REF!</v>
      </c>
      <c r="Q109" s="56"/>
      <c r="R109" s="66">
        <f t="shared" si="4"/>
        <v>2</v>
      </c>
      <c r="S109" s="66"/>
    </row>
    <row r="110" spans="1:18" s="96" customFormat="1" ht="27" customHeight="1">
      <c r="A110" s="216" t="s">
        <v>61</v>
      </c>
      <c r="B110" s="216"/>
      <c r="C110" s="216"/>
      <c r="D110" s="112"/>
      <c r="E110" s="113">
        <f>SUM(E90:E109)</f>
        <v>11760</v>
      </c>
      <c r="F110" s="114"/>
      <c r="G110" s="114"/>
      <c r="H110" s="112"/>
      <c r="I110" s="112"/>
      <c r="J110" s="115"/>
      <c r="K110" s="115"/>
      <c r="L110" s="115"/>
      <c r="M110" s="116"/>
      <c r="N110" s="117">
        <f t="shared" si="3"/>
      </c>
      <c r="O110" s="118"/>
      <c r="P110" s="119"/>
      <c r="Q110" s="118"/>
      <c r="R110" s="118"/>
    </row>
    <row r="111" spans="1:19" ht="27" customHeight="1">
      <c r="A111" s="190">
        <v>101</v>
      </c>
      <c r="B111" s="190" t="s">
        <v>183</v>
      </c>
      <c r="C111" s="190" t="s">
        <v>7</v>
      </c>
      <c r="D111" s="191">
        <v>99</v>
      </c>
      <c r="E111" s="191">
        <v>99</v>
      </c>
      <c r="F111" s="83"/>
      <c r="G111" s="83"/>
      <c r="H111" s="82" t="s">
        <v>411</v>
      </c>
      <c r="I111" s="82" t="s">
        <v>412</v>
      </c>
      <c r="J111" s="84"/>
      <c r="K111" s="194"/>
      <c r="L111" s="84"/>
      <c r="M111" s="87"/>
      <c r="N111" s="117" t="str">
        <f t="shared" si="3"/>
        <v>답이욱호</v>
      </c>
      <c r="O111" s="66" t="str">
        <f t="shared" si="5"/>
        <v>-</v>
      </c>
      <c r="P111" s="71" t="e">
        <f>VLOOKUP($B111,#REF!,6,FALSE)</f>
        <v>#REF!</v>
      </c>
      <c r="Q111" s="56"/>
      <c r="R111" s="66">
        <f t="shared" si="4"/>
        <v>2</v>
      </c>
      <c r="S111" s="66"/>
    </row>
    <row r="112" spans="1:19" ht="27" customHeight="1">
      <c r="A112" s="190">
        <v>102</v>
      </c>
      <c r="B112" s="190" t="s">
        <v>184</v>
      </c>
      <c r="C112" s="190" t="s">
        <v>6</v>
      </c>
      <c r="D112" s="191">
        <v>1002</v>
      </c>
      <c r="E112" s="191">
        <v>48</v>
      </c>
      <c r="F112" s="83"/>
      <c r="G112" s="83"/>
      <c r="H112" s="82" t="s">
        <v>406</v>
      </c>
      <c r="I112" s="157" t="s">
        <v>407</v>
      </c>
      <c r="J112" s="84"/>
      <c r="K112" s="194"/>
      <c r="L112" s="84"/>
      <c r="M112" s="87"/>
      <c r="N112" s="117" t="str">
        <f t="shared" si="3"/>
        <v>전김무선</v>
      </c>
      <c r="O112" s="66" t="str">
        <f t="shared" si="5"/>
        <v>-</v>
      </c>
      <c r="P112" s="71" t="e">
        <f>VLOOKUP($B112,#REF!,6,FALSE)</f>
        <v>#REF!</v>
      </c>
      <c r="Q112" s="56"/>
      <c r="R112" s="66">
        <f t="shared" si="4"/>
        <v>2</v>
      </c>
      <c r="S112" s="66"/>
    </row>
    <row r="113" spans="1:19" ht="27" customHeight="1">
      <c r="A113" s="190">
        <v>103</v>
      </c>
      <c r="B113" s="190" t="s">
        <v>185</v>
      </c>
      <c r="C113" s="190" t="s">
        <v>67</v>
      </c>
      <c r="D113" s="191">
        <v>2439</v>
      </c>
      <c r="E113" s="191">
        <v>521</v>
      </c>
      <c r="F113" s="83"/>
      <c r="G113" s="83"/>
      <c r="H113" s="82" t="s">
        <v>529</v>
      </c>
      <c r="I113" s="157" t="s">
        <v>530</v>
      </c>
      <c r="J113" s="84"/>
      <c r="K113" s="194"/>
      <c r="L113" s="84"/>
      <c r="M113" s="87"/>
      <c r="N113" s="117" t="str">
        <f t="shared" si="3"/>
        <v>임이정환 외 1인</v>
      </c>
      <c r="O113" s="66" t="str">
        <f t="shared" si="5"/>
        <v>-</v>
      </c>
      <c r="P113" s="71" t="e">
        <f>VLOOKUP($B113,#REF!,6,FALSE)</f>
        <v>#REF!</v>
      </c>
      <c r="Q113" s="56"/>
      <c r="R113" s="66">
        <f t="shared" si="4"/>
        <v>2</v>
      </c>
      <c r="S113" s="66"/>
    </row>
    <row r="114" spans="1:19" ht="27" customHeight="1">
      <c r="A114" s="190">
        <v>104</v>
      </c>
      <c r="B114" s="190" t="s">
        <v>186</v>
      </c>
      <c r="C114" s="190" t="s">
        <v>67</v>
      </c>
      <c r="D114" s="191">
        <v>1018</v>
      </c>
      <c r="E114" s="191">
        <v>1018</v>
      </c>
      <c r="F114" s="83"/>
      <c r="G114" s="83"/>
      <c r="H114" s="82" t="s">
        <v>533</v>
      </c>
      <c r="I114" s="82" t="s">
        <v>312</v>
      </c>
      <c r="J114" s="84"/>
      <c r="K114" s="194"/>
      <c r="L114" s="84"/>
      <c r="M114" s="87"/>
      <c r="N114" s="117" t="str">
        <f t="shared" si="3"/>
        <v>임공</v>
      </c>
      <c r="O114" s="66" t="str">
        <f t="shared" si="5"/>
        <v>-</v>
      </c>
      <c r="P114" s="71" t="e">
        <f>VLOOKUP($B114,#REF!,6,FALSE)</f>
        <v>#REF!</v>
      </c>
      <c r="Q114" s="66"/>
      <c r="R114" s="66">
        <f t="shared" si="4"/>
        <v>2</v>
      </c>
      <c r="S114" s="66"/>
    </row>
    <row r="115" spans="1:19" ht="27" customHeight="1">
      <c r="A115" s="190">
        <v>105</v>
      </c>
      <c r="B115" s="190" t="s">
        <v>187</v>
      </c>
      <c r="C115" s="190" t="s">
        <v>67</v>
      </c>
      <c r="D115" s="191">
        <v>423</v>
      </c>
      <c r="E115" s="191">
        <v>423</v>
      </c>
      <c r="F115" s="83"/>
      <c r="G115" s="83"/>
      <c r="H115" s="157" t="s">
        <v>519</v>
      </c>
      <c r="I115" s="157" t="s">
        <v>520</v>
      </c>
      <c r="J115" s="84"/>
      <c r="K115" s="194"/>
      <c r="L115" s="84"/>
      <c r="M115" s="87"/>
      <c r="N115" s="117" t="str">
        <f t="shared" si="3"/>
        <v>임경주김씨대장군공파수일종중회</v>
      </c>
      <c r="O115" s="66" t="str">
        <f t="shared" si="5"/>
        <v>-</v>
      </c>
      <c r="P115" s="71" t="e">
        <f>VLOOKUP($B115,#REF!,6,FALSE)</f>
        <v>#REF!</v>
      </c>
      <c r="Q115" s="66"/>
      <c r="R115" s="66">
        <f t="shared" si="4"/>
        <v>2</v>
      </c>
      <c r="S115" s="66"/>
    </row>
    <row r="116" spans="1:19" ht="27" customHeight="1">
      <c r="A116" s="190">
        <v>106</v>
      </c>
      <c r="B116" s="190" t="s">
        <v>70</v>
      </c>
      <c r="C116" s="190" t="s">
        <v>67</v>
      </c>
      <c r="D116" s="191">
        <v>1121</v>
      </c>
      <c r="E116" s="191">
        <v>650</v>
      </c>
      <c r="F116" s="83"/>
      <c r="G116" s="83"/>
      <c r="H116" s="82" t="s">
        <v>525</v>
      </c>
      <c r="I116" s="157" t="s">
        <v>526</v>
      </c>
      <c r="J116" s="84"/>
      <c r="K116" s="194"/>
      <c r="L116" s="84"/>
      <c r="M116" s="87"/>
      <c r="N116" s="117" t="str">
        <f t="shared" si="3"/>
        <v>임최선숙 외 5인</v>
      </c>
      <c r="O116" s="66" t="str">
        <f t="shared" si="5"/>
        <v>-</v>
      </c>
      <c r="P116" s="71" t="e">
        <f>VLOOKUP($B116,#REF!,6,FALSE)</f>
        <v>#REF!</v>
      </c>
      <c r="Q116" s="66"/>
      <c r="R116" s="66">
        <f t="shared" si="4"/>
        <v>2</v>
      </c>
      <c r="S116" s="66"/>
    </row>
    <row r="117" spans="1:19" ht="27" customHeight="1">
      <c r="A117" s="190">
        <v>107</v>
      </c>
      <c r="B117" s="190" t="s">
        <v>188</v>
      </c>
      <c r="C117" s="190" t="s">
        <v>6</v>
      </c>
      <c r="D117" s="191">
        <v>2657</v>
      </c>
      <c r="E117" s="191">
        <v>2657</v>
      </c>
      <c r="F117" s="83"/>
      <c r="G117" s="83"/>
      <c r="H117" s="82" t="s">
        <v>413</v>
      </c>
      <c r="I117" s="157" t="s">
        <v>414</v>
      </c>
      <c r="J117" s="84"/>
      <c r="K117" s="194"/>
      <c r="L117" s="84"/>
      <c r="M117" s="87"/>
      <c r="N117" s="117" t="str">
        <f t="shared" si="3"/>
        <v>전김우식외 2인</v>
      </c>
      <c r="O117" s="66" t="str">
        <f t="shared" si="5"/>
        <v>-</v>
      </c>
      <c r="P117" s="71" t="e">
        <f>VLOOKUP($B117,#REF!,6,FALSE)</f>
        <v>#REF!</v>
      </c>
      <c r="Q117" s="66"/>
      <c r="R117" s="66">
        <f t="shared" si="4"/>
        <v>2</v>
      </c>
      <c r="S117" s="66"/>
    </row>
    <row r="118" spans="1:19" ht="27" customHeight="1">
      <c r="A118" s="190">
        <v>108</v>
      </c>
      <c r="B118" s="190" t="s">
        <v>189</v>
      </c>
      <c r="C118" s="190" t="s">
        <v>67</v>
      </c>
      <c r="D118" s="191">
        <v>992</v>
      </c>
      <c r="E118" s="191">
        <v>992</v>
      </c>
      <c r="F118" s="83"/>
      <c r="G118" s="83"/>
      <c r="H118" s="82" t="s">
        <v>527</v>
      </c>
      <c r="I118" s="157" t="s">
        <v>528</v>
      </c>
      <c r="J118" s="84"/>
      <c r="K118" s="194"/>
      <c r="L118" s="84"/>
      <c r="M118" s="87"/>
      <c r="N118" s="117" t="str">
        <f t="shared" si="3"/>
        <v>임정점희</v>
      </c>
      <c r="O118" s="66" t="str">
        <f t="shared" si="5"/>
        <v>-</v>
      </c>
      <c r="P118" s="71" t="e">
        <f>VLOOKUP($B118,#REF!,6,FALSE)</f>
        <v>#REF!</v>
      </c>
      <c r="Q118" s="66"/>
      <c r="R118" s="66">
        <f t="shared" si="4"/>
        <v>2</v>
      </c>
      <c r="S118" s="66"/>
    </row>
    <row r="119" spans="1:19" ht="27" customHeight="1">
      <c r="A119" s="190">
        <v>109</v>
      </c>
      <c r="B119" s="190" t="s">
        <v>190</v>
      </c>
      <c r="C119" s="190" t="s">
        <v>67</v>
      </c>
      <c r="D119" s="191">
        <v>2811</v>
      </c>
      <c r="E119" s="191">
        <v>2811</v>
      </c>
      <c r="F119" s="83"/>
      <c r="G119" s="83"/>
      <c r="H119" s="157" t="s">
        <v>519</v>
      </c>
      <c r="I119" s="157" t="s">
        <v>520</v>
      </c>
      <c r="J119" s="84"/>
      <c r="K119" s="194"/>
      <c r="L119" s="84"/>
      <c r="M119" s="87"/>
      <c r="N119" s="117" t="str">
        <f t="shared" si="3"/>
        <v>임경주김씨대장군공파수일종중회</v>
      </c>
      <c r="O119" s="66" t="str">
        <f t="shared" si="5"/>
        <v>-</v>
      </c>
      <c r="P119" s="71" t="e">
        <f>VLOOKUP($B119,#REF!,6,FALSE)</f>
        <v>#REF!</v>
      </c>
      <c r="Q119" s="66"/>
      <c r="R119" s="66">
        <f t="shared" si="4"/>
        <v>2</v>
      </c>
      <c r="S119" s="67"/>
    </row>
    <row r="120" spans="1:19" ht="27" customHeight="1">
      <c r="A120" s="190">
        <v>110</v>
      </c>
      <c r="B120" s="190" t="s">
        <v>191</v>
      </c>
      <c r="C120" s="190" t="s">
        <v>92</v>
      </c>
      <c r="D120" s="191">
        <v>5290</v>
      </c>
      <c r="E120" s="191">
        <v>636</v>
      </c>
      <c r="F120" s="83"/>
      <c r="G120" s="83"/>
      <c r="H120" s="82" t="s">
        <v>310</v>
      </c>
      <c r="I120" s="82" t="s">
        <v>315</v>
      </c>
      <c r="J120" s="84"/>
      <c r="K120" s="84"/>
      <c r="L120" s="84"/>
      <c r="M120" s="87"/>
      <c r="N120" s="117" t="str">
        <f t="shared" si="3"/>
        <v>도국</v>
      </c>
      <c r="O120" s="66" t="str">
        <f t="shared" si="5"/>
        <v>-</v>
      </c>
      <c r="P120" s="71" t="e">
        <f>VLOOKUP($B120,#REF!,6,FALSE)</f>
        <v>#REF!</v>
      </c>
      <c r="Q120" s="66"/>
      <c r="R120" s="66">
        <f t="shared" si="4"/>
        <v>2</v>
      </c>
      <c r="S120" s="67"/>
    </row>
    <row r="121" spans="1:19" ht="27" customHeight="1">
      <c r="A121" s="190">
        <v>111</v>
      </c>
      <c r="B121" s="190" t="s">
        <v>68</v>
      </c>
      <c r="C121" s="190" t="s">
        <v>67</v>
      </c>
      <c r="D121" s="191">
        <v>2645</v>
      </c>
      <c r="E121" s="191">
        <v>539</v>
      </c>
      <c r="F121" s="83"/>
      <c r="G121" s="83"/>
      <c r="H121" s="82" t="s">
        <v>521</v>
      </c>
      <c r="I121" s="157" t="s">
        <v>522</v>
      </c>
      <c r="J121" s="84"/>
      <c r="K121" s="194"/>
      <c r="L121" s="84"/>
      <c r="M121" s="87"/>
      <c r="N121" s="117" t="str">
        <f t="shared" si="3"/>
        <v>임허영식 외 12인</v>
      </c>
      <c r="O121" s="66" t="str">
        <f t="shared" si="5"/>
        <v>-</v>
      </c>
      <c r="P121" s="71" t="e">
        <f>VLOOKUP($B121,#REF!,6,FALSE)</f>
        <v>#REF!</v>
      </c>
      <c r="Q121" s="66"/>
      <c r="R121" s="66">
        <f t="shared" si="4"/>
        <v>2</v>
      </c>
      <c r="S121" s="67"/>
    </row>
    <row r="122" spans="1:19" ht="27" customHeight="1">
      <c r="A122" s="190">
        <v>112</v>
      </c>
      <c r="B122" s="190" t="s">
        <v>192</v>
      </c>
      <c r="C122" s="190" t="s">
        <v>67</v>
      </c>
      <c r="D122" s="191">
        <v>2645</v>
      </c>
      <c r="E122" s="191">
        <v>401</v>
      </c>
      <c r="F122" s="83"/>
      <c r="G122" s="83"/>
      <c r="H122" s="82" t="s">
        <v>523</v>
      </c>
      <c r="I122" s="157" t="s">
        <v>524</v>
      </c>
      <c r="J122" s="84"/>
      <c r="K122" s="194"/>
      <c r="L122" s="84"/>
      <c r="M122" s="87"/>
      <c r="N122" s="117" t="str">
        <f t="shared" si="3"/>
        <v>임정희진 외 5인</v>
      </c>
      <c r="O122" s="66" t="str">
        <f t="shared" si="5"/>
        <v>-</v>
      </c>
      <c r="P122" s="71" t="e">
        <f>VLOOKUP($B122,#REF!,6,FALSE)</f>
        <v>#REF!</v>
      </c>
      <c r="Q122" s="66"/>
      <c r="R122" s="66">
        <f t="shared" si="4"/>
        <v>2</v>
      </c>
      <c r="S122" s="67"/>
    </row>
    <row r="123" spans="1:19" ht="27" customHeight="1">
      <c r="A123" s="190">
        <v>113</v>
      </c>
      <c r="B123" s="190" t="s">
        <v>69</v>
      </c>
      <c r="C123" s="190" t="s">
        <v>67</v>
      </c>
      <c r="D123" s="191">
        <v>883</v>
      </c>
      <c r="E123" s="191">
        <v>433</v>
      </c>
      <c r="F123" s="83"/>
      <c r="G123" s="83"/>
      <c r="H123" s="157" t="s">
        <v>519</v>
      </c>
      <c r="I123" s="157" t="s">
        <v>520</v>
      </c>
      <c r="J123" s="84"/>
      <c r="K123" s="194"/>
      <c r="L123" s="84"/>
      <c r="M123" s="87"/>
      <c r="N123" s="117" t="str">
        <f t="shared" si="3"/>
        <v>임경주김씨대장군공파수일종중회</v>
      </c>
      <c r="O123" s="66" t="str">
        <f t="shared" si="5"/>
        <v>-</v>
      </c>
      <c r="P123" s="71" t="e">
        <f>VLOOKUP($B123,#REF!,6,FALSE)</f>
        <v>#REF!</v>
      </c>
      <c r="Q123" s="66"/>
      <c r="R123" s="66">
        <f t="shared" si="4"/>
        <v>2</v>
      </c>
      <c r="S123" s="67"/>
    </row>
    <row r="124" spans="1:19" ht="27" customHeight="1">
      <c r="A124" s="190">
        <v>114</v>
      </c>
      <c r="B124" s="190" t="s">
        <v>193</v>
      </c>
      <c r="C124" s="190" t="s">
        <v>67</v>
      </c>
      <c r="D124" s="191">
        <v>3306</v>
      </c>
      <c r="E124" s="191">
        <v>15</v>
      </c>
      <c r="F124" s="83"/>
      <c r="G124" s="83"/>
      <c r="H124" s="82" t="s">
        <v>517</v>
      </c>
      <c r="I124" s="157" t="s">
        <v>518</v>
      </c>
      <c r="J124" s="84"/>
      <c r="K124" s="194"/>
      <c r="L124" s="84"/>
      <c r="M124" s="87"/>
      <c r="N124" s="117" t="str">
        <f t="shared" si="3"/>
        <v>임김향로</v>
      </c>
      <c r="O124" s="66" t="str">
        <f t="shared" si="5"/>
        <v>-</v>
      </c>
      <c r="P124" s="71" t="e">
        <f>VLOOKUP($B124,#REF!,6,FALSE)</f>
        <v>#REF!</v>
      </c>
      <c r="Q124" s="66"/>
      <c r="R124" s="66">
        <f t="shared" si="4"/>
        <v>2</v>
      </c>
      <c r="S124" s="67"/>
    </row>
    <row r="125" spans="1:19" ht="27" customHeight="1">
      <c r="A125" s="190">
        <v>115</v>
      </c>
      <c r="B125" s="190" t="s">
        <v>194</v>
      </c>
      <c r="C125" s="190" t="s">
        <v>67</v>
      </c>
      <c r="D125" s="191">
        <v>164</v>
      </c>
      <c r="E125" s="191">
        <v>164</v>
      </c>
      <c r="F125" s="83"/>
      <c r="G125" s="83"/>
      <c r="H125" s="157" t="s">
        <v>519</v>
      </c>
      <c r="I125" s="157" t="s">
        <v>520</v>
      </c>
      <c r="J125" s="84"/>
      <c r="K125" s="194"/>
      <c r="L125" s="84"/>
      <c r="M125" s="87"/>
      <c r="N125" s="117" t="str">
        <f t="shared" si="3"/>
        <v>임경주김씨대장군공파수일종중회</v>
      </c>
      <c r="O125" s="66" t="str">
        <f t="shared" si="5"/>
        <v>-</v>
      </c>
      <c r="P125" s="71" t="e">
        <f>VLOOKUP($B125,#REF!,6,FALSE)</f>
        <v>#REF!</v>
      </c>
      <c r="Q125" s="66"/>
      <c r="R125" s="66">
        <f t="shared" si="4"/>
        <v>2</v>
      </c>
      <c r="S125" s="67"/>
    </row>
    <row r="126" spans="1:19" ht="27" customHeight="1">
      <c r="A126" s="190">
        <v>116</v>
      </c>
      <c r="B126" s="190" t="s">
        <v>195</v>
      </c>
      <c r="C126" s="190" t="s">
        <v>67</v>
      </c>
      <c r="D126" s="191">
        <v>1091</v>
      </c>
      <c r="E126" s="191">
        <v>65</v>
      </c>
      <c r="F126" s="83"/>
      <c r="G126" s="83"/>
      <c r="H126" s="82" t="s">
        <v>515</v>
      </c>
      <c r="I126" s="156" t="s">
        <v>516</v>
      </c>
      <c r="J126" s="84"/>
      <c r="K126" s="194"/>
      <c r="L126" s="84"/>
      <c r="M126" s="87"/>
      <c r="N126" s="117" t="str">
        <f t="shared" si="3"/>
        <v>임박억수 외 3인</v>
      </c>
      <c r="O126" s="66" t="str">
        <f t="shared" si="5"/>
        <v>-</v>
      </c>
      <c r="P126" s="71" t="e">
        <f>VLOOKUP($B126,#REF!,6,FALSE)</f>
        <v>#REF!</v>
      </c>
      <c r="Q126" s="66"/>
      <c r="R126" s="66">
        <f t="shared" si="4"/>
        <v>2</v>
      </c>
      <c r="S126" s="67"/>
    </row>
    <row r="127" spans="1:19" ht="27" customHeight="1">
      <c r="A127" s="190">
        <v>117</v>
      </c>
      <c r="B127" s="190" t="s">
        <v>196</v>
      </c>
      <c r="C127" s="190" t="s">
        <v>67</v>
      </c>
      <c r="D127" s="191">
        <v>19</v>
      </c>
      <c r="E127" s="191">
        <v>19</v>
      </c>
      <c r="F127" s="83"/>
      <c r="G127" s="83"/>
      <c r="H127" s="82" t="s">
        <v>533</v>
      </c>
      <c r="I127" s="82" t="s">
        <v>312</v>
      </c>
      <c r="J127" s="84"/>
      <c r="K127" s="84"/>
      <c r="L127" s="84"/>
      <c r="M127" s="87"/>
      <c r="N127" s="117" t="str">
        <f t="shared" si="3"/>
        <v>임공</v>
      </c>
      <c r="O127" s="66" t="str">
        <f t="shared" si="5"/>
        <v>-</v>
      </c>
      <c r="P127" s="71" t="e">
        <f>VLOOKUP($B127,#REF!,6,FALSE)</f>
        <v>#REF!</v>
      </c>
      <c r="Q127" s="66"/>
      <c r="R127" s="66">
        <f t="shared" si="4"/>
        <v>2</v>
      </c>
      <c r="S127" s="67"/>
    </row>
    <row r="128" spans="1:19" ht="27" customHeight="1">
      <c r="A128" s="190">
        <v>118</v>
      </c>
      <c r="B128" s="190" t="s">
        <v>197</v>
      </c>
      <c r="C128" s="190" t="s">
        <v>67</v>
      </c>
      <c r="D128" s="191">
        <v>141</v>
      </c>
      <c r="E128" s="191">
        <v>141</v>
      </c>
      <c r="F128" s="83"/>
      <c r="G128" s="83"/>
      <c r="H128" s="157" t="s">
        <v>519</v>
      </c>
      <c r="I128" s="157" t="s">
        <v>520</v>
      </c>
      <c r="J128" s="84"/>
      <c r="K128" s="194"/>
      <c r="L128" s="84"/>
      <c r="M128" s="87"/>
      <c r="N128" s="117" t="str">
        <f t="shared" si="3"/>
        <v>임경주김씨대장군공파수일종중회</v>
      </c>
      <c r="O128" s="66" t="str">
        <f t="shared" si="5"/>
        <v>-</v>
      </c>
      <c r="P128" s="71" t="e">
        <f>VLOOKUP($B128,#REF!,6,FALSE)</f>
        <v>#REF!</v>
      </c>
      <c r="Q128" s="66"/>
      <c r="R128" s="66">
        <f t="shared" si="4"/>
        <v>2</v>
      </c>
      <c r="S128" s="67"/>
    </row>
    <row r="129" spans="1:19" ht="27" customHeight="1">
      <c r="A129" s="190">
        <v>119</v>
      </c>
      <c r="B129" s="190" t="s">
        <v>198</v>
      </c>
      <c r="C129" s="190" t="s">
        <v>6</v>
      </c>
      <c r="D129" s="191">
        <v>1322</v>
      </c>
      <c r="E129" s="191">
        <v>972</v>
      </c>
      <c r="F129" s="83"/>
      <c r="G129" s="83"/>
      <c r="H129" s="82" t="s">
        <v>408</v>
      </c>
      <c r="I129" s="157" t="s">
        <v>409</v>
      </c>
      <c r="J129" s="84"/>
      <c r="K129" s="194"/>
      <c r="L129" s="84"/>
      <c r="M129" s="87"/>
      <c r="N129" s="117" t="str">
        <f t="shared" si="3"/>
        <v>전임채일외 1인</v>
      </c>
      <c r="O129" s="66" t="str">
        <f t="shared" si="5"/>
        <v>-</v>
      </c>
      <c r="P129" s="71" t="e">
        <f>VLOOKUP($B129,#REF!,6,FALSE)</f>
        <v>#REF!</v>
      </c>
      <c r="Q129" s="66"/>
      <c r="R129" s="66">
        <f t="shared" si="4"/>
        <v>2</v>
      </c>
      <c r="S129" s="67"/>
    </row>
    <row r="130" spans="1:19" ht="27" customHeight="1">
      <c r="A130" s="190">
        <v>120</v>
      </c>
      <c r="B130" s="190" t="s">
        <v>199</v>
      </c>
      <c r="C130" s="190" t="s">
        <v>6</v>
      </c>
      <c r="D130" s="191">
        <v>1387</v>
      </c>
      <c r="E130" s="191">
        <v>1387</v>
      </c>
      <c r="F130" s="83"/>
      <c r="G130" s="83"/>
      <c r="H130" s="82" t="s">
        <v>415</v>
      </c>
      <c r="I130" s="157" t="s">
        <v>409</v>
      </c>
      <c r="J130" s="84"/>
      <c r="K130" s="194"/>
      <c r="L130" s="84"/>
      <c r="M130" s="87"/>
      <c r="N130" s="117" t="str">
        <f t="shared" si="3"/>
        <v>전임채일외 3인</v>
      </c>
      <c r="O130" s="66" t="str">
        <f t="shared" si="5"/>
        <v>-</v>
      </c>
      <c r="P130" s="71" t="e">
        <f>VLOOKUP($B130,#REF!,6,FALSE)</f>
        <v>#REF!</v>
      </c>
      <c r="Q130" s="56"/>
      <c r="R130" s="66">
        <f t="shared" si="4"/>
        <v>2</v>
      </c>
      <c r="S130" s="66"/>
    </row>
    <row r="131" spans="1:18" s="96" customFormat="1" ht="27" customHeight="1">
      <c r="A131" s="216" t="s">
        <v>61</v>
      </c>
      <c r="B131" s="216"/>
      <c r="C131" s="216"/>
      <c r="D131" s="112"/>
      <c r="E131" s="113">
        <f>SUM(E111:E130)</f>
        <v>13991</v>
      </c>
      <c r="F131" s="114"/>
      <c r="G131" s="114"/>
      <c r="H131" s="112"/>
      <c r="I131" s="112"/>
      <c r="J131" s="115"/>
      <c r="K131" s="115"/>
      <c r="L131" s="115"/>
      <c r="M131" s="116"/>
      <c r="N131" s="117">
        <f t="shared" si="3"/>
      </c>
      <c r="O131" s="118"/>
      <c r="P131" s="119"/>
      <c r="Q131" s="118"/>
      <c r="R131" s="118"/>
    </row>
    <row r="132" spans="1:19" ht="27" customHeight="1">
      <c r="A132" s="190">
        <v>121</v>
      </c>
      <c r="B132" s="190" t="s">
        <v>200</v>
      </c>
      <c r="C132" s="190" t="s">
        <v>92</v>
      </c>
      <c r="D132" s="191">
        <v>1159</v>
      </c>
      <c r="E132" s="191">
        <v>347</v>
      </c>
      <c r="F132" s="83"/>
      <c r="G132" s="83"/>
      <c r="H132" s="82" t="s">
        <v>428</v>
      </c>
      <c r="I132" s="82" t="s">
        <v>429</v>
      </c>
      <c r="J132" s="84"/>
      <c r="K132" s="84"/>
      <c r="L132" s="84"/>
      <c r="M132" s="85" t="s">
        <v>575</v>
      </c>
      <c r="N132" s="117" t="str">
        <f t="shared" si="3"/>
        <v>도김부출</v>
      </c>
      <c r="O132" s="66" t="str">
        <f t="shared" si="5"/>
        <v>-</v>
      </c>
      <c r="P132" s="71" t="e">
        <f>VLOOKUP($B132,#REF!,6,FALSE)</f>
        <v>#REF!</v>
      </c>
      <c r="Q132" s="56"/>
      <c r="R132" s="66">
        <f t="shared" si="4"/>
        <v>2</v>
      </c>
      <c r="S132" s="66"/>
    </row>
    <row r="133" spans="1:19" ht="27" customHeight="1">
      <c r="A133" s="190">
        <v>122</v>
      </c>
      <c r="B133" s="190" t="s">
        <v>71</v>
      </c>
      <c r="C133" s="190" t="s">
        <v>92</v>
      </c>
      <c r="D133" s="191">
        <v>178</v>
      </c>
      <c r="E133" s="191">
        <v>178</v>
      </c>
      <c r="F133" s="83"/>
      <c r="G133" s="83"/>
      <c r="H133" s="82" t="s">
        <v>533</v>
      </c>
      <c r="I133" s="82" t="s">
        <v>329</v>
      </c>
      <c r="J133" s="84"/>
      <c r="K133" s="84"/>
      <c r="L133" s="84"/>
      <c r="M133" s="85"/>
      <c r="N133" s="117" t="str">
        <f t="shared" si="3"/>
        <v>도공</v>
      </c>
      <c r="O133" s="66" t="str">
        <f t="shared" si="5"/>
        <v>-</v>
      </c>
      <c r="P133" s="71" t="e">
        <f>VLOOKUP($B133,#REF!,6,FALSE)</f>
        <v>#REF!</v>
      </c>
      <c r="Q133" s="56"/>
      <c r="R133" s="66">
        <f t="shared" si="4"/>
        <v>2</v>
      </c>
      <c r="S133" s="66"/>
    </row>
    <row r="134" spans="1:19" ht="27" customHeight="1">
      <c r="A134" s="190">
        <v>123</v>
      </c>
      <c r="B134" s="190" t="s">
        <v>201</v>
      </c>
      <c r="C134" s="190" t="s">
        <v>6</v>
      </c>
      <c r="D134" s="191">
        <v>1440</v>
      </c>
      <c r="E134" s="191">
        <v>1326</v>
      </c>
      <c r="F134" s="83"/>
      <c r="G134" s="83"/>
      <c r="H134" s="82" t="s">
        <v>428</v>
      </c>
      <c r="I134" s="82" t="s">
        <v>429</v>
      </c>
      <c r="J134" s="84"/>
      <c r="K134" s="194"/>
      <c r="L134" s="84"/>
      <c r="M134" s="85" t="s">
        <v>575</v>
      </c>
      <c r="N134" s="117" t="str">
        <f t="shared" si="3"/>
        <v>전김부출</v>
      </c>
      <c r="O134" s="66" t="str">
        <f t="shared" si="5"/>
        <v>-</v>
      </c>
      <c r="P134" s="71" t="e">
        <f>VLOOKUP($B134,#REF!,6,FALSE)</f>
        <v>#REF!</v>
      </c>
      <c r="Q134" s="56"/>
      <c r="R134" s="66">
        <f t="shared" si="4"/>
        <v>2</v>
      </c>
      <c r="S134" s="66"/>
    </row>
    <row r="135" spans="1:19" ht="27" customHeight="1">
      <c r="A135" s="190">
        <v>124</v>
      </c>
      <c r="B135" s="190" t="s">
        <v>202</v>
      </c>
      <c r="C135" s="190" t="s">
        <v>92</v>
      </c>
      <c r="D135" s="191">
        <v>130</v>
      </c>
      <c r="E135" s="191">
        <v>130</v>
      </c>
      <c r="F135" s="83"/>
      <c r="G135" s="83"/>
      <c r="H135" s="82" t="s">
        <v>428</v>
      </c>
      <c r="I135" s="82" t="s">
        <v>429</v>
      </c>
      <c r="J135" s="84"/>
      <c r="K135" s="84"/>
      <c r="L135" s="84"/>
      <c r="M135" s="85" t="s">
        <v>575</v>
      </c>
      <c r="N135" s="117" t="str">
        <f aca="true" t="shared" si="6" ref="N135:N198">CONCATENATE(C135,H135)</f>
        <v>도김부출</v>
      </c>
      <c r="O135" s="66" t="str">
        <f t="shared" si="5"/>
        <v>-</v>
      </c>
      <c r="P135" s="71" t="e">
        <f>VLOOKUP($B135,#REF!,6,FALSE)</f>
        <v>#REF!</v>
      </c>
      <c r="Q135" s="66"/>
      <c r="R135" s="66">
        <f t="shared" si="4"/>
        <v>2</v>
      </c>
      <c r="S135" s="66"/>
    </row>
    <row r="136" spans="1:19" ht="27" customHeight="1">
      <c r="A136" s="190">
        <v>125</v>
      </c>
      <c r="B136" s="190" t="s">
        <v>203</v>
      </c>
      <c r="C136" s="190" t="s">
        <v>92</v>
      </c>
      <c r="D136" s="191">
        <v>99</v>
      </c>
      <c r="E136" s="191">
        <v>99</v>
      </c>
      <c r="F136" s="83"/>
      <c r="G136" s="83"/>
      <c r="H136" s="82" t="s">
        <v>533</v>
      </c>
      <c r="I136" s="82" t="s">
        <v>329</v>
      </c>
      <c r="J136" s="84"/>
      <c r="K136" s="194"/>
      <c r="L136" s="84"/>
      <c r="M136" s="87"/>
      <c r="N136" s="117" t="str">
        <f t="shared" si="6"/>
        <v>도공</v>
      </c>
      <c r="O136" s="66" t="str">
        <f t="shared" si="5"/>
        <v>-</v>
      </c>
      <c r="P136" s="71" t="e">
        <f>VLOOKUP($B136,#REF!,6,FALSE)</f>
        <v>#REF!</v>
      </c>
      <c r="Q136" s="66"/>
      <c r="R136" s="66">
        <f t="shared" si="4"/>
        <v>2</v>
      </c>
      <c r="S136" s="66"/>
    </row>
    <row r="137" spans="1:19" ht="27" customHeight="1">
      <c r="A137" s="190">
        <v>126</v>
      </c>
      <c r="B137" s="190" t="s">
        <v>204</v>
      </c>
      <c r="C137" s="190" t="s">
        <v>67</v>
      </c>
      <c r="D137" s="191">
        <v>3471</v>
      </c>
      <c r="E137" s="191">
        <v>462</v>
      </c>
      <c r="F137" s="83"/>
      <c r="G137" s="83"/>
      <c r="H137" s="82" t="s">
        <v>512</v>
      </c>
      <c r="I137" s="157" t="s">
        <v>513</v>
      </c>
      <c r="J137" s="84" t="s">
        <v>563</v>
      </c>
      <c r="K137" s="194" t="s">
        <v>564</v>
      </c>
      <c r="L137" s="84" t="s">
        <v>542</v>
      </c>
      <c r="M137" s="87"/>
      <c r="N137" s="117" t="str">
        <f t="shared" si="6"/>
        <v>임지외식 외 1인</v>
      </c>
      <c r="O137" s="66" t="str">
        <f t="shared" si="5"/>
        <v>-</v>
      </c>
      <c r="P137" s="71" t="e">
        <f>VLOOKUP($B137,#REF!,6,FALSE)</f>
        <v>#REF!</v>
      </c>
      <c r="Q137" s="66"/>
      <c r="R137" s="66">
        <f t="shared" si="4"/>
        <v>2</v>
      </c>
      <c r="S137" s="66"/>
    </row>
    <row r="138" spans="1:19" ht="27" customHeight="1">
      <c r="A138" s="190">
        <v>127</v>
      </c>
      <c r="B138" s="190" t="s">
        <v>205</v>
      </c>
      <c r="C138" s="190" t="s">
        <v>67</v>
      </c>
      <c r="D138" s="191">
        <v>1135</v>
      </c>
      <c r="E138" s="191">
        <v>1135</v>
      </c>
      <c r="F138" s="83"/>
      <c r="G138" s="83"/>
      <c r="H138" s="82" t="s">
        <v>510</v>
      </c>
      <c r="I138" s="156" t="s">
        <v>511</v>
      </c>
      <c r="J138" s="84"/>
      <c r="K138" s="194"/>
      <c r="L138" s="84"/>
      <c r="M138" s="87"/>
      <c r="N138" s="117" t="str">
        <f t="shared" si="6"/>
        <v>임김원</v>
      </c>
      <c r="O138" s="66" t="str">
        <f t="shared" si="5"/>
        <v>-</v>
      </c>
      <c r="P138" s="71" t="e">
        <f>VLOOKUP($B138,#REF!,6,FALSE)</f>
        <v>#REF!</v>
      </c>
      <c r="Q138" s="66"/>
      <c r="R138" s="66">
        <f t="shared" si="4"/>
        <v>2</v>
      </c>
      <c r="S138" s="66"/>
    </row>
    <row r="139" spans="1:19" ht="27" customHeight="1">
      <c r="A139" s="190">
        <v>128</v>
      </c>
      <c r="B139" s="190" t="s">
        <v>206</v>
      </c>
      <c r="C139" s="190" t="s">
        <v>67</v>
      </c>
      <c r="D139" s="191">
        <v>99</v>
      </c>
      <c r="E139" s="191">
        <v>99</v>
      </c>
      <c r="F139" s="83"/>
      <c r="G139" s="83"/>
      <c r="H139" s="157" t="s">
        <v>519</v>
      </c>
      <c r="I139" s="157" t="s">
        <v>520</v>
      </c>
      <c r="J139" s="84"/>
      <c r="K139" s="194"/>
      <c r="L139" s="84"/>
      <c r="M139" s="87"/>
      <c r="N139" s="117" t="str">
        <f t="shared" si="6"/>
        <v>임경주김씨대장군공파수일종중회</v>
      </c>
      <c r="O139" s="66" t="str">
        <f t="shared" si="5"/>
        <v>-</v>
      </c>
      <c r="P139" s="71" t="e">
        <f>VLOOKUP($B139,#REF!,6,FALSE)</f>
        <v>#REF!</v>
      </c>
      <c r="Q139" s="66"/>
      <c r="R139" s="66">
        <f t="shared" si="4"/>
        <v>2</v>
      </c>
      <c r="S139" s="66"/>
    </row>
    <row r="140" spans="1:19" ht="27" customHeight="1">
      <c r="A140" s="190">
        <v>129</v>
      </c>
      <c r="B140" s="190" t="s">
        <v>207</v>
      </c>
      <c r="C140" s="190" t="s">
        <v>92</v>
      </c>
      <c r="D140" s="191">
        <v>417</v>
      </c>
      <c r="E140" s="191">
        <v>417</v>
      </c>
      <c r="F140" s="83"/>
      <c r="G140" s="83"/>
      <c r="H140" s="82" t="s">
        <v>533</v>
      </c>
      <c r="I140" s="82" t="s">
        <v>329</v>
      </c>
      <c r="J140" s="84"/>
      <c r="K140" s="194"/>
      <c r="L140" s="84"/>
      <c r="M140" s="87"/>
      <c r="N140" s="117" t="str">
        <f t="shared" si="6"/>
        <v>도공</v>
      </c>
      <c r="O140" s="66" t="str">
        <f t="shared" si="5"/>
        <v>-</v>
      </c>
      <c r="P140" s="71" t="e">
        <f>VLOOKUP($B140,#REF!,6,FALSE)</f>
        <v>#REF!</v>
      </c>
      <c r="Q140" s="66"/>
      <c r="R140" s="66">
        <f aca="true" t="shared" si="7" ref="R140:R207">IF(C140=Q140,0,2)</f>
        <v>2</v>
      </c>
      <c r="S140" s="67"/>
    </row>
    <row r="141" spans="1:19" ht="27" customHeight="1">
      <c r="A141" s="190">
        <v>130</v>
      </c>
      <c r="B141" s="190" t="s">
        <v>208</v>
      </c>
      <c r="C141" s="190" t="s">
        <v>67</v>
      </c>
      <c r="D141" s="191">
        <v>597</v>
      </c>
      <c r="E141" s="191">
        <v>597</v>
      </c>
      <c r="F141" s="83"/>
      <c r="G141" s="83"/>
      <c r="H141" s="82" t="s">
        <v>533</v>
      </c>
      <c r="I141" s="82" t="s">
        <v>329</v>
      </c>
      <c r="J141" s="84"/>
      <c r="K141" s="194"/>
      <c r="L141" s="84"/>
      <c r="M141" s="87"/>
      <c r="N141" s="117" t="str">
        <f t="shared" si="6"/>
        <v>임공</v>
      </c>
      <c r="O141" s="66" t="str">
        <f aca="true" t="shared" si="8" ref="O141:O208">IF(D141&gt;=E141,"-","ERR")</f>
        <v>-</v>
      </c>
      <c r="P141" s="71" t="e">
        <f>VLOOKUP($B141,#REF!,6,FALSE)</f>
        <v>#REF!</v>
      </c>
      <c r="Q141" s="66"/>
      <c r="R141" s="66">
        <f t="shared" si="7"/>
        <v>2</v>
      </c>
      <c r="S141" s="67"/>
    </row>
    <row r="142" spans="1:19" ht="27" customHeight="1">
      <c r="A142" s="190">
        <v>131</v>
      </c>
      <c r="B142" s="190" t="s">
        <v>209</v>
      </c>
      <c r="C142" s="190" t="s">
        <v>67</v>
      </c>
      <c r="D142" s="191">
        <v>15</v>
      </c>
      <c r="E142" s="191">
        <v>15</v>
      </c>
      <c r="F142" s="83"/>
      <c r="G142" s="83"/>
      <c r="H142" s="82" t="s">
        <v>533</v>
      </c>
      <c r="I142" s="82" t="s">
        <v>329</v>
      </c>
      <c r="J142" s="84"/>
      <c r="K142" s="194"/>
      <c r="L142" s="84"/>
      <c r="M142" s="87"/>
      <c r="N142" s="117" t="str">
        <f t="shared" si="6"/>
        <v>임공</v>
      </c>
      <c r="O142" s="66" t="str">
        <f t="shared" si="8"/>
        <v>-</v>
      </c>
      <c r="P142" s="71" t="e">
        <f>VLOOKUP($B142,#REF!,6,FALSE)</f>
        <v>#REF!</v>
      </c>
      <c r="Q142" s="66"/>
      <c r="R142" s="66">
        <f t="shared" si="7"/>
        <v>2</v>
      </c>
      <c r="S142" s="67"/>
    </row>
    <row r="143" spans="1:19" ht="27" customHeight="1">
      <c r="A143" s="190">
        <v>132</v>
      </c>
      <c r="B143" s="190" t="s">
        <v>210</v>
      </c>
      <c r="C143" s="190" t="s">
        <v>67</v>
      </c>
      <c r="D143" s="191">
        <v>291</v>
      </c>
      <c r="E143" s="191">
        <v>291</v>
      </c>
      <c r="F143" s="83"/>
      <c r="G143" s="83"/>
      <c r="H143" s="82" t="s">
        <v>510</v>
      </c>
      <c r="I143" s="156" t="s">
        <v>511</v>
      </c>
      <c r="J143" s="84"/>
      <c r="K143" s="194"/>
      <c r="L143" s="84"/>
      <c r="M143" s="87"/>
      <c r="N143" s="117" t="str">
        <f t="shared" si="6"/>
        <v>임김원</v>
      </c>
      <c r="O143" s="66" t="str">
        <f t="shared" si="8"/>
        <v>-</v>
      </c>
      <c r="P143" s="71" t="e">
        <f>VLOOKUP($B143,#REF!,6,FALSE)</f>
        <v>#REF!</v>
      </c>
      <c r="Q143" s="66"/>
      <c r="R143" s="66">
        <f t="shared" si="7"/>
        <v>2</v>
      </c>
      <c r="S143" s="67"/>
    </row>
    <row r="144" spans="1:19" ht="27" customHeight="1">
      <c r="A144" s="190">
        <v>133</v>
      </c>
      <c r="B144" s="190" t="s">
        <v>211</v>
      </c>
      <c r="C144" s="190" t="s">
        <v>67</v>
      </c>
      <c r="D144" s="191">
        <v>954</v>
      </c>
      <c r="E144" s="191">
        <v>954</v>
      </c>
      <c r="F144" s="83"/>
      <c r="G144" s="83"/>
      <c r="H144" s="82" t="s">
        <v>533</v>
      </c>
      <c r="I144" s="82" t="s">
        <v>312</v>
      </c>
      <c r="J144" s="84"/>
      <c r="K144" s="194"/>
      <c r="L144" s="84"/>
      <c r="M144" s="87"/>
      <c r="N144" s="117" t="str">
        <f t="shared" si="6"/>
        <v>임공</v>
      </c>
      <c r="O144" s="66" t="str">
        <f t="shared" si="8"/>
        <v>-</v>
      </c>
      <c r="P144" s="71" t="e">
        <f>VLOOKUP($B144,#REF!,6,FALSE)</f>
        <v>#REF!</v>
      </c>
      <c r="Q144" s="66"/>
      <c r="R144" s="66">
        <f t="shared" si="7"/>
        <v>2</v>
      </c>
      <c r="S144" s="67"/>
    </row>
    <row r="145" spans="1:19" ht="27" customHeight="1">
      <c r="A145" s="190">
        <v>134</v>
      </c>
      <c r="B145" s="190" t="s">
        <v>212</v>
      </c>
      <c r="C145" s="190" t="s">
        <v>67</v>
      </c>
      <c r="D145" s="191">
        <v>9548</v>
      </c>
      <c r="E145" s="191">
        <v>4818</v>
      </c>
      <c r="F145" s="83"/>
      <c r="G145" s="83"/>
      <c r="H145" s="207" t="s">
        <v>588</v>
      </c>
      <c r="I145" s="157" t="s">
        <v>514</v>
      </c>
      <c r="J145" s="84"/>
      <c r="K145" s="194"/>
      <c r="L145" s="84"/>
      <c r="M145" s="87"/>
      <c r="N145" s="117" t="str">
        <f t="shared" si="6"/>
        <v>임해주오씨정헌공파정천(참생이)문중외1인</v>
      </c>
      <c r="O145" s="66" t="str">
        <f t="shared" si="8"/>
        <v>-</v>
      </c>
      <c r="P145" s="71" t="e">
        <f>VLOOKUP($B145,#REF!,6,FALSE)</f>
        <v>#REF!</v>
      </c>
      <c r="Q145" s="66"/>
      <c r="R145" s="66">
        <f t="shared" si="7"/>
        <v>2</v>
      </c>
      <c r="S145" s="67"/>
    </row>
    <row r="146" spans="1:19" ht="27" customHeight="1">
      <c r="A146" s="190">
        <v>135</v>
      </c>
      <c r="B146" s="190" t="s">
        <v>213</v>
      </c>
      <c r="C146" s="190" t="s">
        <v>67</v>
      </c>
      <c r="D146" s="191">
        <v>1559</v>
      </c>
      <c r="E146" s="191">
        <v>1559</v>
      </c>
      <c r="F146" s="83"/>
      <c r="G146" s="83"/>
      <c r="H146" s="82" t="s">
        <v>533</v>
      </c>
      <c r="I146" s="82" t="s">
        <v>312</v>
      </c>
      <c r="J146" s="84"/>
      <c r="K146" s="84"/>
      <c r="L146" s="84"/>
      <c r="M146" s="87"/>
      <c r="N146" s="117" t="str">
        <f t="shared" si="6"/>
        <v>임공</v>
      </c>
      <c r="O146" s="66" t="str">
        <f t="shared" si="8"/>
        <v>-</v>
      </c>
      <c r="P146" s="71" t="e">
        <f>VLOOKUP($B146,#REF!,6,FALSE)</f>
        <v>#REF!</v>
      </c>
      <c r="Q146" s="66"/>
      <c r="R146" s="66">
        <f t="shared" si="7"/>
        <v>2</v>
      </c>
      <c r="S146" s="67"/>
    </row>
    <row r="147" spans="1:19" ht="27" customHeight="1">
      <c r="A147" s="190">
        <v>136</v>
      </c>
      <c r="B147" s="190">
        <v>304</v>
      </c>
      <c r="C147" s="190" t="s">
        <v>67</v>
      </c>
      <c r="D147" s="191">
        <v>221</v>
      </c>
      <c r="E147" s="191">
        <v>46</v>
      </c>
      <c r="F147" s="83"/>
      <c r="G147" s="83"/>
      <c r="H147" s="82" t="s">
        <v>437</v>
      </c>
      <c r="I147" s="82" t="s">
        <v>438</v>
      </c>
      <c r="J147" s="84"/>
      <c r="K147" s="194"/>
      <c r="L147" s="84"/>
      <c r="M147" s="87"/>
      <c r="N147" s="117" t="str">
        <f t="shared" si="6"/>
        <v>임이상도</v>
      </c>
      <c r="O147" s="66" t="str">
        <f t="shared" si="8"/>
        <v>-</v>
      </c>
      <c r="P147" s="71" t="e">
        <f>VLOOKUP($B147,#REF!,6,FALSE)</f>
        <v>#REF!</v>
      </c>
      <c r="Q147" s="66"/>
      <c r="R147" s="66">
        <f t="shared" si="7"/>
        <v>2</v>
      </c>
      <c r="S147" s="67"/>
    </row>
    <row r="148" spans="1:19" ht="27" customHeight="1">
      <c r="A148" s="190">
        <v>137</v>
      </c>
      <c r="B148" s="190" t="s">
        <v>583</v>
      </c>
      <c r="C148" s="190" t="s">
        <v>585</v>
      </c>
      <c r="D148" s="191">
        <v>67</v>
      </c>
      <c r="E148" s="191">
        <v>67</v>
      </c>
      <c r="F148" s="83"/>
      <c r="G148" s="83"/>
      <c r="H148" s="82" t="s">
        <v>533</v>
      </c>
      <c r="I148" s="82" t="s">
        <v>312</v>
      </c>
      <c r="J148" s="84"/>
      <c r="K148" s="194"/>
      <c r="L148" s="84"/>
      <c r="M148" s="87"/>
      <c r="N148" s="117" t="str">
        <f t="shared" si="6"/>
        <v>대공</v>
      </c>
      <c r="O148" s="66" t="str">
        <f t="shared" si="8"/>
        <v>-</v>
      </c>
      <c r="P148" s="71" t="e">
        <f>VLOOKUP($B148,#REF!,6,FALSE)</f>
        <v>#REF!</v>
      </c>
      <c r="Q148" s="66"/>
      <c r="R148" s="66">
        <f t="shared" si="7"/>
        <v>2</v>
      </c>
      <c r="S148" s="67"/>
    </row>
    <row r="149" spans="1:19" ht="27" customHeight="1">
      <c r="A149" s="190">
        <v>138</v>
      </c>
      <c r="B149" s="190" t="s">
        <v>584</v>
      </c>
      <c r="C149" s="190" t="s">
        <v>586</v>
      </c>
      <c r="D149" s="191">
        <v>74</v>
      </c>
      <c r="E149" s="191">
        <v>74</v>
      </c>
      <c r="F149" s="83"/>
      <c r="G149" s="83"/>
      <c r="H149" s="82" t="s">
        <v>533</v>
      </c>
      <c r="I149" s="82" t="s">
        <v>312</v>
      </c>
      <c r="J149" s="84"/>
      <c r="K149" s="194"/>
      <c r="L149" s="84"/>
      <c r="M149" s="87"/>
      <c r="N149" s="117" t="str">
        <f t="shared" si="6"/>
        <v>주공</v>
      </c>
      <c r="O149" s="66" t="str">
        <f t="shared" si="8"/>
        <v>-</v>
      </c>
      <c r="P149" s="71" t="e">
        <f>VLOOKUP($B149,#REF!,6,FALSE)</f>
        <v>#REF!</v>
      </c>
      <c r="Q149" s="66"/>
      <c r="R149" s="66">
        <f t="shared" si="7"/>
        <v>2</v>
      </c>
      <c r="S149" s="67"/>
    </row>
    <row r="150" spans="1:19" ht="27" customHeight="1">
      <c r="A150" s="190">
        <v>139</v>
      </c>
      <c r="B150" s="190" t="s">
        <v>214</v>
      </c>
      <c r="C150" s="190" t="s">
        <v>6</v>
      </c>
      <c r="D150" s="191">
        <v>807</v>
      </c>
      <c r="E150" s="191">
        <v>807</v>
      </c>
      <c r="F150" s="83"/>
      <c r="G150" s="83"/>
      <c r="H150" s="82" t="s">
        <v>449</v>
      </c>
      <c r="I150" s="82">
        <v>318</v>
      </c>
      <c r="J150" s="84"/>
      <c r="K150" s="84"/>
      <c r="L150" s="84"/>
      <c r="M150" s="87"/>
      <c r="N150" s="117" t="str">
        <f t="shared" si="6"/>
        <v>전김헌석</v>
      </c>
      <c r="O150" s="66" t="str">
        <f t="shared" si="8"/>
        <v>-</v>
      </c>
      <c r="P150" s="71" t="e">
        <f>VLOOKUP($B150,#REF!,6,FALSE)</f>
        <v>#REF!</v>
      </c>
      <c r="Q150" s="66"/>
      <c r="R150" s="66">
        <f t="shared" si="7"/>
        <v>2</v>
      </c>
      <c r="S150" s="67"/>
    </row>
    <row r="151" spans="1:19" ht="27" customHeight="1">
      <c r="A151" s="190">
        <v>140</v>
      </c>
      <c r="B151" s="190" t="s">
        <v>215</v>
      </c>
      <c r="C151" s="190" t="s">
        <v>6</v>
      </c>
      <c r="D151" s="191">
        <v>660</v>
      </c>
      <c r="E151" s="191">
        <v>395</v>
      </c>
      <c r="F151" s="83"/>
      <c r="G151" s="83"/>
      <c r="H151" s="82" t="s">
        <v>449</v>
      </c>
      <c r="I151" s="82">
        <v>318</v>
      </c>
      <c r="J151" s="84"/>
      <c r="K151" s="194"/>
      <c r="L151" s="84"/>
      <c r="M151" s="87"/>
      <c r="N151" s="117" t="str">
        <f t="shared" si="6"/>
        <v>전김헌석</v>
      </c>
      <c r="O151" s="66" t="str">
        <f t="shared" si="8"/>
        <v>-</v>
      </c>
      <c r="P151" s="71" t="e">
        <f>VLOOKUP($B151,#REF!,6,FALSE)</f>
        <v>#REF!</v>
      </c>
      <c r="Q151" s="56"/>
      <c r="R151" s="66">
        <f t="shared" si="7"/>
        <v>2</v>
      </c>
      <c r="S151" s="66"/>
    </row>
    <row r="152" spans="1:18" s="96" customFormat="1" ht="27" customHeight="1">
      <c r="A152" s="216" t="s">
        <v>272</v>
      </c>
      <c r="B152" s="216"/>
      <c r="C152" s="216"/>
      <c r="D152" s="112"/>
      <c r="E152" s="113">
        <f>SUM(E132:E151)</f>
        <v>13816</v>
      </c>
      <c r="F152" s="114"/>
      <c r="G152" s="114"/>
      <c r="H152" s="112"/>
      <c r="I152" s="112"/>
      <c r="J152" s="115"/>
      <c r="K152" s="115"/>
      <c r="L152" s="115"/>
      <c r="M152" s="116"/>
      <c r="N152" s="117">
        <f t="shared" si="6"/>
      </c>
      <c r="O152" s="118"/>
      <c r="P152" s="119"/>
      <c r="Q152" s="118"/>
      <c r="R152" s="118"/>
    </row>
    <row r="153" spans="1:19" ht="27" customHeight="1">
      <c r="A153" s="190">
        <v>141</v>
      </c>
      <c r="B153" s="190" t="s">
        <v>216</v>
      </c>
      <c r="C153" s="190" t="s">
        <v>6</v>
      </c>
      <c r="D153" s="191">
        <v>542</v>
      </c>
      <c r="E153" s="191">
        <v>442</v>
      </c>
      <c r="F153" s="83"/>
      <c r="G153" s="83"/>
      <c r="H153" s="82" t="s">
        <v>449</v>
      </c>
      <c r="I153" s="82">
        <v>318</v>
      </c>
      <c r="J153" s="84"/>
      <c r="K153" s="194"/>
      <c r="L153" s="84"/>
      <c r="M153" s="87"/>
      <c r="N153" s="117" t="str">
        <f t="shared" si="6"/>
        <v>전김헌석</v>
      </c>
      <c r="O153" s="66" t="str">
        <f t="shared" si="8"/>
        <v>-</v>
      </c>
      <c r="P153" s="71" t="e">
        <f>VLOOKUP($B153,#REF!,6,FALSE)</f>
        <v>#REF!</v>
      </c>
      <c r="Q153" s="56"/>
      <c r="R153" s="66">
        <f t="shared" si="7"/>
        <v>2</v>
      </c>
      <c r="S153" s="66"/>
    </row>
    <row r="154" spans="1:19" ht="27" customHeight="1">
      <c r="A154" s="190">
        <v>142</v>
      </c>
      <c r="B154" s="190" t="s">
        <v>217</v>
      </c>
      <c r="C154" s="190" t="s">
        <v>67</v>
      </c>
      <c r="D154" s="191">
        <v>136</v>
      </c>
      <c r="E154" s="191">
        <v>136</v>
      </c>
      <c r="F154" s="83"/>
      <c r="G154" s="83"/>
      <c r="H154" s="82" t="s">
        <v>447</v>
      </c>
      <c r="I154" s="156" t="s">
        <v>448</v>
      </c>
      <c r="J154" s="84" t="s">
        <v>565</v>
      </c>
      <c r="K154" s="206" t="s">
        <v>566</v>
      </c>
      <c r="L154" s="84" t="s">
        <v>567</v>
      </c>
      <c r="M154" s="87"/>
      <c r="N154" s="117" t="str">
        <f t="shared" si="6"/>
        <v>임김현숙</v>
      </c>
      <c r="O154" s="66" t="str">
        <f t="shared" si="8"/>
        <v>-</v>
      </c>
      <c r="P154" s="71" t="e">
        <f>VLOOKUP($B154,#REF!,6,FALSE)</f>
        <v>#REF!</v>
      </c>
      <c r="Q154" s="56"/>
      <c r="R154" s="66">
        <f t="shared" si="7"/>
        <v>2</v>
      </c>
      <c r="S154" s="66"/>
    </row>
    <row r="155" spans="1:19" ht="27" customHeight="1">
      <c r="A155" s="190">
        <v>143</v>
      </c>
      <c r="B155" s="190" t="s">
        <v>218</v>
      </c>
      <c r="C155" s="190" t="s">
        <v>6</v>
      </c>
      <c r="D155" s="191">
        <v>72</v>
      </c>
      <c r="E155" s="191">
        <v>72</v>
      </c>
      <c r="F155" s="83"/>
      <c r="G155" s="83"/>
      <c r="H155" s="82" t="s">
        <v>449</v>
      </c>
      <c r="I155" s="82">
        <v>318</v>
      </c>
      <c r="J155" s="84"/>
      <c r="K155" s="206"/>
      <c r="L155" s="84"/>
      <c r="M155" s="87"/>
      <c r="N155" s="117" t="str">
        <f t="shared" si="6"/>
        <v>전김헌석</v>
      </c>
      <c r="O155" s="66" t="str">
        <f t="shared" si="8"/>
        <v>-</v>
      </c>
      <c r="P155" s="71" t="e">
        <f>VLOOKUP($B155,#REF!,6,FALSE)</f>
        <v>#REF!</v>
      </c>
      <c r="Q155" s="56"/>
      <c r="R155" s="66">
        <f t="shared" si="7"/>
        <v>2</v>
      </c>
      <c r="S155" s="66"/>
    </row>
    <row r="156" spans="1:19" ht="27" customHeight="1">
      <c r="A156" s="190">
        <v>144</v>
      </c>
      <c r="B156" s="190" t="s">
        <v>219</v>
      </c>
      <c r="C156" s="190" t="s">
        <v>6</v>
      </c>
      <c r="D156" s="191">
        <v>1375</v>
      </c>
      <c r="E156" s="191">
        <v>905</v>
      </c>
      <c r="F156" s="83"/>
      <c r="G156" s="83"/>
      <c r="H156" s="82" t="s">
        <v>447</v>
      </c>
      <c r="I156" s="157" t="s">
        <v>448</v>
      </c>
      <c r="J156" s="84" t="s">
        <v>565</v>
      </c>
      <c r="K156" s="206" t="s">
        <v>566</v>
      </c>
      <c r="L156" s="84" t="s">
        <v>567</v>
      </c>
      <c r="M156" s="87"/>
      <c r="N156" s="117" t="str">
        <f t="shared" si="6"/>
        <v>전김현숙</v>
      </c>
      <c r="O156" s="66" t="str">
        <f t="shared" si="8"/>
        <v>-</v>
      </c>
      <c r="P156" s="71" t="e">
        <f>VLOOKUP($B156,#REF!,6,FALSE)</f>
        <v>#REF!</v>
      </c>
      <c r="Q156" s="66"/>
      <c r="R156" s="66">
        <f t="shared" si="7"/>
        <v>2</v>
      </c>
      <c r="S156" s="66"/>
    </row>
    <row r="157" spans="1:19" ht="27" customHeight="1">
      <c r="A157" s="190">
        <v>145</v>
      </c>
      <c r="B157" s="190" t="s">
        <v>220</v>
      </c>
      <c r="C157" s="190" t="s">
        <v>6</v>
      </c>
      <c r="D157" s="191">
        <v>191</v>
      </c>
      <c r="E157" s="191">
        <v>191</v>
      </c>
      <c r="F157" s="83"/>
      <c r="G157" s="83"/>
      <c r="H157" s="82" t="s">
        <v>447</v>
      </c>
      <c r="I157" s="156" t="s">
        <v>448</v>
      </c>
      <c r="J157" s="84" t="s">
        <v>565</v>
      </c>
      <c r="K157" s="206" t="s">
        <v>566</v>
      </c>
      <c r="L157" s="84" t="s">
        <v>567</v>
      </c>
      <c r="M157" s="87"/>
      <c r="N157" s="117" t="str">
        <f t="shared" si="6"/>
        <v>전김현숙</v>
      </c>
      <c r="O157" s="66" t="str">
        <f t="shared" si="8"/>
        <v>-</v>
      </c>
      <c r="P157" s="71" t="e">
        <f>VLOOKUP($B157,#REF!,6,FALSE)</f>
        <v>#REF!</v>
      </c>
      <c r="Q157" s="66"/>
      <c r="R157" s="66">
        <f t="shared" si="7"/>
        <v>2</v>
      </c>
      <c r="S157" s="66"/>
    </row>
    <row r="158" spans="1:19" ht="27" customHeight="1">
      <c r="A158" s="190">
        <v>146</v>
      </c>
      <c r="B158" s="190" t="s">
        <v>221</v>
      </c>
      <c r="C158" s="190" t="s">
        <v>222</v>
      </c>
      <c r="D158" s="191">
        <v>583</v>
      </c>
      <c r="E158" s="191">
        <v>230</v>
      </c>
      <c r="F158" s="83"/>
      <c r="G158" s="83"/>
      <c r="H158" s="82" t="s">
        <v>447</v>
      </c>
      <c r="I158" s="156" t="s">
        <v>448</v>
      </c>
      <c r="J158" s="84" t="s">
        <v>565</v>
      </c>
      <c r="K158" s="206" t="s">
        <v>566</v>
      </c>
      <c r="L158" s="84" t="s">
        <v>567</v>
      </c>
      <c r="M158" s="87"/>
      <c r="N158" s="117" t="str">
        <f t="shared" si="6"/>
        <v>잡김현숙</v>
      </c>
      <c r="O158" s="66" t="str">
        <f t="shared" si="8"/>
        <v>-</v>
      </c>
      <c r="P158" s="71" t="e">
        <f>VLOOKUP($B158,#REF!,6,FALSE)</f>
        <v>#REF!</v>
      </c>
      <c r="Q158" s="66"/>
      <c r="R158" s="66">
        <f t="shared" si="7"/>
        <v>2</v>
      </c>
      <c r="S158" s="66"/>
    </row>
    <row r="159" spans="1:19" ht="27" customHeight="1">
      <c r="A159" s="190">
        <v>147</v>
      </c>
      <c r="B159" s="190" t="s">
        <v>223</v>
      </c>
      <c r="C159" s="190" t="s">
        <v>222</v>
      </c>
      <c r="D159" s="191">
        <v>12</v>
      </c>
      <c r="E159" s="191">
        <v>12</v>
      </c>
      <c r="F159" s="83"/>
      <c r="G159" s="83"/>
      <c r="H159" s="82" t="s">
        <v>447</v>
      </c>
      <c r="I159" s="156" t="s">
        <v>448</v>
      </c>
      <c r="J159" s="84" t="s">
        <v>565</v>
      </c>
      <c r="K159" s="206" t="s">
        <v>566</v>
      </c>
      <c r="L159" s="84" t="s">
        <v>567</v>
      </c>
      <c r="M159" s="87"/>
      <c r="N159" s="117" t="str">
        <f t="shared" si="6"/>
        <v>잡김현숙</v>
      </c>
      <c r="O159" s="66" t="str">
        <f t="shared" si="8"/>
        <v>-</v>
      </c>
      <c r="P159" s="71" t="e">
        <f>VLOOKUP($B159,#REF!,6,FALSE)</f>
        <v>#REF!</v>
      </c>
      <c r="Q159" s="66"/>
      <c r="R159" s="66">
        <f t="shared" si="7"/>
        <v>2</v>
      </c>
      <c r="S159" s="66"/>
    </row>
    <row r="160" spans="1:19" ht="27" customHeight="1">
      <c r="A160" s="190">
        <v>148</v>
      </c>
      <c r="B160" s="190" t="s">
        <v>224</v>
      </c>
      <c r="C160" s="190" t="s">
        <v>67</v>
      </c>
      <c r="D160" s="191">
        <v>116</v>
      </c>
      <c r="E160" s="191">
        <v>116</v>
      </c>
      <c r="F160" s="83"/>
      <c r="G160" s="83"/>
      <c r="H160" s="82" t="s">
        <v>447</v>
      </c>
      <c r="I160" s="156" t="s">
        <v>448</v>
      </c>
      <c r="J160" s="84" t="s">
        <v>565</v>
      </c>
      <c r="K160" s="206" t="s">
        <v>566</v>
      </c>
      <c r="L160" s="84" t="s">
        <v>567</v>
      </c>
      <c r="M160" s="87"/>
      <c r="N160" s="117" t="str">
        <f t="shared" si="6"/>
        <v>임김현숙</v>
      </c>
      <c r="O160" s="66" t="str">
        <f t="shared" si="8"/>
        <v>-</v>
      </c>
      <c r="P160" s="71" t="e">
        <f>VLOOKUP($B160,#REF!,6,FALSE)</f>
        <v>#REF!</v>
      </c>
      <c r="Q160" s="66"/>
      <c r="R160" s="66">
        <f t="shared" si="7"/>
        <v>2</v>
      </c>
      <c r="S160" s="66"/>
    </row>
    <row r="161" spans="1:19" ht="27" customHeight="1">
      <c r="A161" s="190">
        <v>149</v>
      </c>
      <c r="B161" s="190" t="s">
        <v>225</v>
      </c>
      <c r="C161" s="190" t="s">
        <v>67</v>
      </c>
      <c r="D161" s="191">
        <v>3329</v>
      </c>
      <c r="E161" s="191">
        <v>1415</v>
      </c>
      <c r="F161" s="83"/>
      <c r="G161" s="83"/>
      <c r="H161" s="82" t="s">
        <v>531</v>
      </c>
      <c r="I161" s="82" t="s">
        <v>532</v>
      </c>
      <c r="J161" s="84"/>
      <c r="K161" s="194"/>
      <c r="L161" s="84"/>
      <c r="M161" s="87"/>
      <c r="N161" s="117" t="str">
        <f t="shared" si="6"/>
        <v>임엄장부</v>
      </c>
      <c r="O161" s="66" t="str">
        <f t="shared" si="8"/>
        <v>-</v>
      </c>
      <c r="P161" s="71" t="e">
        <f>VLOOKUP($B161,#REF!,6,FALSE)</f>
        <v>#REF!</v>
      </c>
      <c r="Q161" s="66"/>
      <c r="R161" s="66">
        <f t="shared" si="7"/>
        <v>2</v>
      </c>
      <c r="S161" s="67"/>
    </row>
    <row r="162" spans="1:19" ht="27" customHeight="1">
      <c r="A162" s="190">
        <v>150</v>
      </c>
      <c r="B162" s="190" t="s">
        <v>226</v>
      </c>
      <c r="C162" s="190" t="s">
        <v>67</v>
      </c>
      <c r="D162" s="191">
        <v>1144</v>
      </c>
      <c r="E162" s="191">
        <v>1144</v>
      </c>
      <c r="F162" s="83"/>
      <c r="G162" s="83"/>
      <c r="H162" s="82" t="s">
        <v>531</v>
      </c>
      <c r="I162" s="82" t="s">
        <v>532</v>
      </c>
      <c r="J162" s="84"/>
      <c r="K162" s="194"/>
      <c r="L162" s="84"/>
      <c r="M162" s="85" t="s">
        <v>575</v>
      </c>
      <c r="N162" s="117" t="str">
        <f t="shared" si="6"/>
        <v>임엄장부</v>
      </c>
      <c r="O162" s="66" t="str">
        <f t="shared" si="8"/>
        <v>-</v>
      </c>
      <c r="P162" s="71" t="e">
        <f>VLOOKUP($B162,#REF!,6,FALSE)</f>
        <v>#REF!</v>
      </c>
      <c r="Q162" s="66"/>
      <c r="R162" s="66">
        <f t="shared" si="7"/>
        <v>2</v>
      </c>
      <c r="S162" s="67"/>
    </row>
    <row r="163" spans="1:19" ht="27" customHeight="1">
      <c r="A163" s="190">
        <v>151</v>
      </c>
      <c r="B163" s="190" t="s">
        <v>227</v>
      </c>
      <c r="C163" s="190" t="s">
        <v>67</v>
      </c>
      <c r="D163" s="191">
        <v>1982</v>
      </c>
      <c r="E163" s="191">
        <v>715</v>
      </c>
      <c r="F163" s="83"/>
      <c r="G163" s="83"/>
      <c r="H163" s="82" t="s">
        <v>476</v>
      </c>
      <c r="I163" s="82" t="s">
        <v>477</v>
      </c>
      <c r="J163" s="84"/>
      <c r="K163" s="194"/>
      <c r="L163" s="84"/>
      <c r="M163" s="87"/>
      <c r="N163" s="117" t="str">
        <f t="shared" si="6"/>
        <v>임이정호 외 1인</v>
      </c>
      <c r="O163" s="66" t="str">
        <f t="shared" si="8"/>
        <v>-</v>
      </c>
      <c r="P163" s="71" t="e">
        <f>VLOOKUP($B163,#REF!,6,FALSE)</f>
        <v>#REF!</v>
      </c>
      <c r="Q163" s="66"/>
      <c r="R163" s="66">
        <f t="shared" si="7"/>
        <v>2</v>
      </c>
      <c r="S163" s="67"/>
    </row>
    <row r="164" spans="1:19" ht="27" customHeight="1">
      <c r="A164" s="190">
        <v>152</v>
      </c>
      <c r="B164" s="190" t="s">
        <v>228</v>
      </c>
      <c r="C164" s="190" t="s">
        <v>67</v>
      </c>
      <c r="D164" s="191">
        <v>77</v>
      </c>
      <c r="E164" s="191">
        <v>77</v>
      </c>
      <c r="F164" s="83"/>
      <c r="G164" s="83"/>
      <c r="H164" s="82" t="s">
        <v>476</v>
      </c>
      <c r="I164" s="82" t="s">
        <v>477</v>
      </c>
      <c r="J164" s="84"/>
      <c r="K164" s="194"/>
      <c r="L164" s="84"/>
      <c r="M164" s="85" t="s">
        <v>575</v>
      </c>
      <c r="N164" s="117" t="str">
        <f t="shared" si="6"/>
        <v>임이정호 외 1인</v>
      </c>
      <c r="O164" s="66" t="str">
        <f t="shared" si="8"/>
        <v>-</v>
      </c>
      <c r="P164" s="71" t="e">
        <f>VLOOKUP($B164,#REF!,6,FALSE)</f>
        <v>#REF!</v>
      </c>
      <c r="Q164" s="66"/>
      <c r="R164" s="66">
        <f t="shared" si="7"/>
        <v>2</v>
      </c>
      <c r="S164" s="67"/>
    </row>
    <row r="165" spans="1:19" ht="27" customHeight="1">
      <c r="A165" s="190">
        <v>153</v>
      </c>
      <c r="B165" s="190" t="s">
        <v>229</v>
      </c>
      <c r="C165" s="190" t="s">
        <v>67</v>
      </c>
      <c r="D165" s="191">
        <v>1302</v>
      </c>
      <c r="E165" s="191">
        <v>856</v>
      </c>
      <c r="F165" s="83"/>
      <c r="G165" s="83"/>
      <c r="H165" s="82" t="s">
        <v>474</v>
      </c>
      <c r="I165" s="82" t="s">
        <v>475</v>
      </c>
      <c r="J165" s="84"/>
      <c r="K165" s="194"/>
      <c r="L165" s="84"/>
      <c r="M165" s="87"/>
      <c r="N165" s="117" t="str">
        <f t="shared" si="6"/>
        <v>임천해용 외 2인 </v>
      </c>
      <c r="O165" s="66" t="str">
        <f t="shared" si="8"/>
        <v>-</v>
      </c>
      <c r="P165" s="71" t="e">
        <f>VLOOKUP($B165,#REF!,6,FALSE)</f>
        <v>#REF!</v>
      </c>
      <c r="Q165" s="66"/>
      <c r="R165" s="66">
        <f t="shared" si="7"/>
        <v>2</v>
      </c>
      <c r="S165" s="67"/>
    </row>
    <row r="166" spans="1:19" ht="27" customHeight="1">
      <c r="A166" s="190">
        <v>154</v>
      </c>
      <c r="B166" s="190" t="s">
        <v>230</v>
      </c>
      <c r="C166" s="190" t="s">
        <v>67</v>
      </c>
      <c r="D166" s="191">
        <v>1950</v>
      </c>
      <c r="E166" s="191">
        <v>1950</v>
      </c>
      <c r="F166" s="83"/>
      <c r="G166" s="83"/>
      <c r="H166" s="82" t="s">
        <v>474</v>
      </c>
      <c r="I166" s="82" t="s">
        <v>475</v>
      </c>
      <c r="J166" s="84"/>
      <c r="K166" s="194"/>
      <c r="L166" s="84"/>
      <c r="M166" s="85" t="s">
        <v>575</v>
      </c>
      <c r="N166" s="117" t="str">
        <f t="shared" si="6"/>
        <v>임천해용 외 2인 </v>
      </c>
      <c r="O166" s="66" t="str">
        <f t="shared" si="8"/>
        <v>-</v>
      </c>
      <c r="P166" s="71" t="e">
        <f>VLOOKUP($B166,#REF!,6,FALSE)</f>
        <v>#REF!</v>
      </c>
      <c r="Q166" s="66"/>
      <c r="R166" s="66">
        <f t="shared" si="7"/>
        <v>2</v>
      </c>
      <c r="S166" s="67"/>
    </row>
    <row r="167" spans="1:19" ht="27" customHeight="1">
      <c r="A167" s="190">
        <v>155</v>
      </c>
      <c r="B167" s="190" t="s">
        <v>231</v>
      </c>
      <c r="C167" s="190" t="s">
        <v>67</v>
      </c>
      <c r="D167" s="191">
        <v>793</v>
      </c>
      <c r="E167" s="191">
        <v>619</v>
      </c>
      <c r="F167" s="83"/>
      <c r="G167" s="83"/>
      <c r="H167" s="82" t="s">
        <v>478</v>
      </c>
      <c r="I167" s="82"/>
      <c r="J167" s="84"/>
      <c r="K167" s="194"/>
      <c r="L167" s="84"/>
      <c r="M167" s="87"/>
      <c r="N167" s="117" t="str">
        <f t="shared" si="6"/>
        <v>임이능춘</v>
      </c>
      <c r="O167" s="66" t="str">
        <f t="shared" si="8"/>
        <v>-</v>
      </c>
      <c r="P167" s="71" t="e">
        <f>VLOOKUP($B167,#REF!,6,FALSE)</f>
        <v>#REF!</v>
      </c>
      <c r="Q167" s="66"/>
      <c r="R167" s="66">
        <f t="shared" si="7"/>
        <v>2</v>
      </c>
      <c r="S167" s="67"/>
    </row>
    <row r="168" spans="1:19" ht="27" customHeight="1">
      <c r="A168" s="190">
        <v>156</v>
      </c>
      <c r="B168" s="190" t="s">
        <v>232</v>
      </c>
      <c r="C168" s="190" t="s">
        <v>67</v>
      </c>
      <c r="D168" s="191">
        <v>147</v>
      </c>
      <c r="E168" s="191">
        <v>147</v>
      </c>
      <c r="F168" s="83"/>
      <c r="G168" s="83"/>
      <c r="H168" s="82" t="s">
        <v>310</v>
      </c>
      <c r="I168" s="82" t="s">
        <v>311</v>
      </c>
      <c r="J168" s="84"/>
      <c r="K168" s="194"/>
      <c r="L168" s="84"/>
      <c r="M168" s="87"/>
      <c r="N168" s="117" t="str">
        <f t="shared" si="6"/>
        <v>임국</v>
      </c>
      <c r="O168" s="66" t="str">
        <f t="shared" si="8"/>
        <v>-</v>
      </c>
      <c r="P168" s="71" t="e">
        <f>VLOOKUP($B168,#REF!,6,FALSE)</f>
        <v>#REF!</v>
      </c>
      <c r="Q168" s="66"/>
      <c r="R168" s="66">
        <f t="shared" si="7"/>
        <v>2</v>
      </c>
      <c r="S168" s="67"/>
    </row>
    <row r="169" spans="1:19" ht="27" customHeight="1">
      <c r="A169" s="190">
        <v>157</v>
      </c>
      <c r="B169" s="190">
        <v>329</v>
      </c>
      <c r="C169" s="190" t="s">
        <v>6</v>
      </c>
      <c r="D169" s="191">
        <v>618</v>
      </c>
      <c r="E169" s="191">
        <v>42</v>
      </c>
      <c r="F169" s="83"/>
      <c r="G169" s="83"/>
      <c r="H169" s="82" t="s">
        <v>310</v>
      </c>
      <c r="I169" s="82" t="s">
        <v>311</v>
      </c>
      <c r="J169" s="84"/>
      <c r="K169" s="194"/>
      <c r="L169" s="84"/>
      <c r="M169" s="87"/>
      <c r="N169" s="117" t="str">
        <f t="shared" si="6"/>
        <v>전국</v>
      </c>
      <c r="O169" s="66" t="str">
        <f t="shared" si="8"/>
        <v>-</v>
      </c>
      <c r="P169" s="71"/>
      <c r="Q169" s="66"/>
      <c r="R169" s="66"/>
      <c r="S169" s="67"/>
    </row>
    <row r="170" spans="1:19" ht="27" customHeight="1">
      <c r="A170" s="190">
        <v>158</v>
      </c>
      <c r="B170" s="190" t="s">
        <v>233</v>
      </c>
      <c r="C170" s="190" t="s">
        <v>6</v>
      </c>
      <c r="D170" s="191">
        <v>22</v>
      </c>
      <c r="E170" s="191">
        <v>22</v>
      </c>
      <c r="F170" s="83"/>
      <c r="G170" s="83"/>
      <c r="H170" s="82" t="s">
        <v>310</v>
      </c>
      <c r="I170" s="82" t="s">
        <v>311</v>
      </c>
      <c r="J170" s="84"/>
      <c r="K170" s="194"/>
      <c r="L170" s="84"/>
      <c r="M170" s="87"/>
      <c r="N170" s="117" t="str">
        <f t="shared" si="6"/>
        <v>전국</v>
      </c>
      <c r="O170" s="66" t="str">
        <f t="shared" si="8"/>
        <v>-</v>
      </c>
      <c r="P170" s="71" t="e">
        <f>VLOOKUP($B170,#REF!,6,FALSE)</f>
        <v>#REF!</v>
      </c>
      <c r="Q170" s="66"/>
      <c r="R170" s="66">
        <f t="shared" si="7"/>
        <v>2</v>
      </c>
      <c r="S170" s="67"/>
    </row>
    <row r="171" spans="1:19" ht="27" customHeight="1">
      <c r="A171" s="190">
        <v>159</v>
      </c>
      <c r="B171" s="190" t="s">
        <v>234</v>
      </c>
      <c r="C171" s="190" t="s">
        <v>67</v>
      </c>
      <c r="D171" s="191">
        <v>33395</v>
      </c>
      <c r="E171" s="191">
        <v>1871</v>
      </c>
      <c r="F171" s="83"/>
      <c r="G171" s="83"/>
      <c r="H171" s="82" t="s">
        <v>310</v>
      </c>
      <c r="I171" s="82" t="s">
        <v>311</v>
      </c>
      <c r="J171" s="84"/>
      <c r="K171" s="194"/>
      <c r="L171" s="84"/>
      <c r="M171" s="87"/>
      <c r="N171" s="117" t="str">
        <f t="shared" si="6"/>
        <v>임국</v>
      </c>
      <c r="O171" s="66" t="str">
        <f t="shared" si="8"/>
        <v>-</v>
      </c>
      <c r="P171" s="71" t="e">
        <f>VLOOKUP($B171,#REF!,6,FALSE)</f>
        <v>#REF!</v>
      </c>
      <c r="Q171" s="66"/>
      <c r="R171" s="66">
        <f t="shared" si="7"/>
        <v>2</v>
      </c>
      <c r="S171" s="67"/>
    </row>
    <row r="172" spans="1:19" ht="27" customHeight="1">
      <c r="A172" s="190">
        <v>160</v>
      </c>
      <c r="B172" s="190" t="s">
        <v>235</v>
      </c>
      <c r="C172" s="190" t="s">
        <v>67</v>
      </c>
      <c r="D172" s="191">
        <v>1027</v>
      </c>
      <c r="E172" s="191">
        <v>1027</v>
      </c>
      <c r="F172" s="83"/>
      <c r="G172" s="83"/>
      <c r="H172" s="82" t="s">
        <v>310</v>
      </c>
      <c r="I172" s="82" t="s">
        <v>311</v>
      </c>
      <c r="J172" s="84"/>
      <c r="K172" s="194"/>
      <c r="L172" s="84"/>
      <c r="M172" s="87"/>
      <c r="N172" s="117" t="str">
        <f t="shared" si="6"/>
        <v>임국</v>
      </c>
      <c r="O172" s="66" t="str">
        <f t="shared" si="8"/>
        <v>-</v>
      </c>
      <c r="P172" s="71" t="e">
        <f>VLOOKUP($B172,#REF!,6,FALSE)</f>
        <v>#REF!</v>
      </c>
      <c r="Q172" s="66"/>
      <c r="R172" s="66">
        <f t="shared" si="7"/>
        <v>2</v>
      </c>
      <c r="S172" s="67"/>
    </row>
    <row r="173" spans="1:18" s="96" customFormat="1" ht="27" customHeight="1">
      <c r="A173" s="216" t="s">
        <v>272</v>
      </c>
      <c r="B173" s="216"/>
      <c r="C173" s="216"/>
      <c r="D173" s="112"/>
      <c r="E173" s="113">
        <f>SUM(E153:E172)</f>
        <v>11989</v>
      </c>
      <c r="F173" s="114"/>
      <c r="G173" s="114"/>
      <c r="H173" s="112"/>
      <c r="I173" s="112"/>
      <c r="J173" s="115"/>
      <c r="K173" s="115"/>
      <c r="L173" s="115"/>
      <c r="M173" s="116"/>
      <c r="N173" s="117">
        <f t="shared" si="6"/>
      </c>
      <c r="O173" s="118"/>
      <c r="P173" s="119"/>
      <c r="Q173" s="118"/>
      <c r="R173" s="118"/>
    </row>
    <row r="174" spans="1:19" ht="27" customHeight="1">
      <c r="A174" s="190">
        <v>161</v>
      </c>
      <c r="B174" s="190" t="s">
        <v>236</v>
      </c>
      <c r="C174" s="190" t="s">
        <v>92</v>
      </c>
      <c r="D174" s="191">
        <v>2819</v>
      </c>
      <c r="E174" s="191">
        <v>2819</v>
      </c>
      <c r="F174" s="83"/>
      <c r="G174" s="83"/>
      <c r="H174" s="82" t="s">
        <v>310</v>
      </c>
      <c r="I174" s="82" t="s">
        <v>311</v>
      </c>
      <c r="J174" s="84"/>
      <c r="K174" s="84"/>
      <c r="L174" s="84"/>
      <c r="M174" s="87"/>
      <c r="N174" s="117" t="str">
        <f t="shared" si="6"/>
        <v>도국</v>
      </c>
      <c r="O174" s="66" t="str">
        <f t="shared" si="8"/>
        <v>-</v>
      </c>
      <c r="P174" s="71" t="e">
        <f>VLOOKUP($B174,#REF!,6,FALSE)</f>
        <v>#REF!</v>
      </c>
      <c r="Q174" s="66"/>
      <c r="R174" s="66">
        <f t="shared" si="7"/>
        <v>2</v>
      </c>
      <c r="S174" s="67"/>
    </row>
    <row r="175" spans="1:19" ht="27" customHeight="1">
      <c r="A175" s="190">
        <v>162</v>
      </c>
      <c r="B175" s="190" t="s">
        <v>237</v>
      </c>
      <c r="C175" s="190" t="s">
        <v>67</v>
      </c>
      <c r="D175" s="191">
        <v>41</v>
      </c>
      <c r="E175" s="191">
        <v>41</v>
      </c>
      <c r="F175" s="83"/>
      <c r="G175" s="83"/>
      <c r="H175" s="82" t="s">
        <v>533</v>
      </c>
      <c r="I175" s="82" t="s">
        <v>312</v>
      </c>
      <c r="J175" s="84"/>
      <c r="K175" s="194"/>
      <c r="L175" s="84"/>
      <c r="M175" s="87"/>
      <c r="N175" s="117" t="str">
        <f t="shared" si="6"/>
        <v>임공</v>
      </c>
      <c r="O175" s="66" t="str">
        <f t="shared" si="8"/>
        <v>-</v>
      </c>
      <c r="P175" s="71" t="e">
        <f>VLOOKUP($B175,#REF!,6,FALSE)</f>
        <v>#REF!</v>
      </c>
      <c r="Q175" s="56"/>
      <c r="R175" s="66">
        <f t="shared" si="7"/>
        <v>2</v>
      </c>
      <c r="S175" s="66"/>
    </row>
    <row r="176" spans="1:19" ht="27" customHeight="1">
      <c r="A176" s="190">
        <v>163</v>
      </c>
      <c r="B176" s="190" t="s">
        <v>238</v>
      </c>
      <c r="C176" s="190" t="s">
        <v>67</v>
      </c>
      <c r="D176" s="191">
        <v>2859</v>
      </c>
      <c r="E176" s="191">
        <v>979</v>
      </c>
      <c r="F176" s="83"/>
      <c r="G176" s="83"/>
      <c r="H176" s="82" t="s">
        <v>310</v>
      </c>
      <c r="I176" s="82" t="s">
        <v>311</v>
      </c>
      <c r="J176" s="84"/>
      <c r="K176" s="194"/>
      <c r="L176" s="84"/>
      <c r="M176" s="87"/>
      <c r="N176" s="117" t="str">
        <f t="shared" si="6"/>
        <v>임국</v>
      </c>
      <c r="O176" s="66" t="str">
        <f t="shared" si="8"/>
        <v>-</v>
      </c>
      <c r="P176" s="71" t="e">
        <f>VLOOKUP($B176,#REF!,6,FALSE)</f>
        <v>#REF!</v>
      </c>
      <c r="Q176" s="56"/>
      <c r="R176" s="66">
        <f t="shared" si="7"/>
        <v>2</v>
      </c>
      <c r="S176" s="66"/>
    </row>
    <row r="177" spans="1:19" ht="27" customHeight="1">
      <c r="A177" s="190">
        <v>164</v>
      </c>
      <c r="B177" s="190" t="s">
        <v>239</v>
      </c>
      <c r="C177" s="190" t="s">
        <v>67</v>
      </c>
      <c r="D177" s="191">
        <v>31</v>
      </c>
      <c r="E177" s="191">
        <v>31</v>
      </c>
      <c r="F177" s="83"/>
      <c r="G177" s="83"/>
      <c r="H177" s="82" t="s">
        <v>533</v>
      </c>
      <c r="I177" s="82" t="s">
        <v>312</v>
      </c>
      <c r="J177" s="84"/>
      <c r="K177" s="194"/>
      <c r="L177" s="84"/>
      <c r="M177" s="87"/>
      <c r="N177" s="117" t="str">
        <f t="shared" si="6"/>
        <v>임공</v>
      </c>
      <c r="O177" s="66" t="str">
        <f t="shared" si="8"/>
        <v>-</v>
      </c>
      <c r="P177" s="71" t="e">
        <f>VLOOKUP($B177,#REF!,6,FALSE)</f>
        <v>#REF!</v>
      </c>
      <c r="Q177" s="56"/>
      <c r="R177" s="66">
        <f t="shared" si="7"/>
        <v>2</v>
      </c>
      <c r="S177" s="66"/>
    </row>
    <row r="178" spans="1:19" ht="27" customHeight="1">
      <c r="A178" s="190">
        <v>165</v>
      </c>
      <c r="B178" s="190" t="s">
        <v>240</v>
      </c>
      <c r="C178" s="190" t="s">
        <v>7</v>
      </c>
      <c r="D178" s="191">
        <v>1571</v>
      </c>
      <c r="E178" s="191">
        <v>400</v>
      </c>
      <c r="F178" s="83"/>
      <c r="G178" s="83"/>
      <c r="H178" s="82" t="s">
        <v>469</v>
      </c>
      <c r="I178" s="82" t="s">
        <v>470</v>
      </c>
      <c r="J178" s="84"/>
      <c r="K178" s="194"/>
      <c r="L178" s="84"/>
      <c r="M178" s="87"/>
      <c r="N178" s="117" t="str">
        <f t="shared" si="6"/>
        <v>답이원구</v>
      </c>
      <c r="O178" s="66" t="str">
        <f t="shared" si="8"/>
        <v>-</v>
      </c>
      <c r="P178" s="71" t="e">
        <f>VLOOKUP($B178,#REF!,6,FALSE)</f>
        <v>#REF!</v>
      </c>
      <c r="Q178" s="56"/>
      <c r="R178" s="66">
        <f t="shared" si="7"/>
        <v>2</v>
      </c>
      <c r="S178" s="66"/>
    </row>
    <row r="179" spans="1:19" ht="27" customHeight="1">
      <c r="A179" s="190">
        <v>166</v>
      </c>
      <c r="B179" s="190" t="s">
        <v>241</v>
      </c>
      <c r="C179" s="190" t="s">
        <v>7</v>
      </c>
      <c r="D179" s="191">
        <v>278</v>
      </c>
      <c r="E179" s="191">
        <v>278</v>
      </c>
      <c r="F179" s="83"/>
      <c r="G179" s="83"/>
      <c r="H179" s="82" t="s">
        <v>533</v>
      </c>
      <c r="I179" s="82" t="s">
        <v>312</v>
      </c>
      <c r="J179" s="84"/>
      <c r="K179" s="194"/>
      <c r="L179" s="84"/>
      <c r="M179" s="87"/>
      <c r="N179" s="117" t="str">
        <f t="shared" si="6"/>
        <v>답공</v>
      </c>
      <c r="O179" s="66" t="str">
        <f t="shared" si="8"/>
        <v>-</v>
      </c>
      <c r="P179" s="71" t="e">
        <f>VLOOKUP($B179,#REF!,6,FALSE)</f>
        <v>#REF!</v>
      </c>
      <c r="Q179" s="66"/>
      <c r="R179" s="66">
        <f t="shared" si="7"/>
        <v>2</v>
      </c>
      <c r="S179" s="66"/>
    </row>
    <row r="180" spans="1:19" ht="27" customHeight="1">
      <c r="A180" s="190">
        <v>167</v>
      </c>
      <c r="B180" s="190" t="s">
        <v>242</v>
      </c>
      <c r="C180" s="190" t="s">
        <v>7</v>
      </c>
      <c r="D180" s="191">
        <v>23</v>
      </c>
      <c r="E180" s="191">
        <v>23</v>
      </c>
      <c r="F180" s="83"/>
      <c r="G180" s="83"/>
      <c r="H180" s="82" t="s">
        <v>533</v>
      </c>
      <c r="I180" s="82" t="s">
        <v>312</v>
      </c>
      <c r="J180" s="84"/>
      <c r="K180" s="194"/>
      <c r="L180" s="84"/>
      <c r="M180" s="87"/>
      <c r="N180" s="117" t="str">
        <f t="shared" si="6"/>
        <v>답공</v>
      </c>
      <c r="O180" s="66" t="str">
        <f t="shared" si="8"/>
        <v>-</v>
      </c>
      <c r="P180" s="71" t="e">
        <f>VLOOKUP($B180,#REF!,6,FALSE)</f>
        <v>#REF!</v>
      </c>
      <c r="Q180" s="66"/>
      <c r="R180" s="66">
        <f t="shared" si="7"/>
        <v>2</v>
      </c>
      <c r="S180" s="66"/>
    </row>
    <row r="181" spans="1:19" ht="27" customHeight="1">
      <c r="A181" s="190">
        <v>168</v>
      </c>
      <c r="B181" s="190" t="s">
        <v>243</v>
      </c>
      <c r="C181" s="190" t="s">
        <v>7</v>
      </c>
      <c r="D181" s="191">
        <v>140</v>
      </c>
      <c r="E181" s="191">
        <v>123</v>
      </c>
      <c r="F181" s="83"/>
      <c r="G181" s="83"/>
      <c r="H181" s="82" t="s">
        <v>464</v>
      </c>
      <c r="I181" s="82" t="s">
        <v>465</v>
      </c>
      <c r="J181" s="84"/>
      <c r="K181" s="194"/>
      <c r="L181" s="84"/>
      <c r="M181" s="87"/>
      <c r="N181" s="117" t="str">
        <f t="shared" si="6"/>
        <v>답한재헌</v>
      </c>
      <c r="O181" s="66" t="str">
        <f t="shared" si="8"/>
        <v>-</v>
      </c>
      <c r="P181" s="71" t="e">
        <f>VLOOKUP($B181,#REF!,6,FALSE)</f>
        <v>#REF!</v>
      </c>
      <c r="Q181" s="66"/>
      <c r="R181" s="66">
        <f t="shared" si="7"/>
        <v>2</v>
      </c>
      <c r="S181" s="66"/>
    </row>
    <row r="182" spans="1:19" ht="27" customHeight="1">
      <c r="A182" s="190">
        <v>169</v>
      </c>
      <c r="B182" s="190" t="s">
        <v>244</v>
      </c>
      <c r="C182" s="190" t="s">
        <v>7</v>
      </c>
      <c r="D182" s="191">
        <v>413</v>
      </c>
      <c r="E182" s="191">
        <v>155</v>
      </c>
      <c r="F182" s="83"/>
      <c r="G182" s="83"/>
      <c r="H182" s="82" t="s">
        <v>464</v>
      </c>
      <c r="I182" s="82" t="s">
        <v>465</v>
      </c>
      <c r="J182" s="84"/>
      <c r="K182" s="194"/>
      <c r="L182" s="84"/>
      <c r="M182" s="87"/>
      <c r="N182" s="117" t="str">
        <f t="shared" si="6"/>
        <v>답한재헌</v>
      </c>
      <c r="O182" s="66" t="str">
        <f t="shared" si="8"/>
        <v>-</v>
      </c>
      <c r="P182" s="71" t="e">
        <f>VLOOKUP($B182,#REF!,6,FALSE)</f>
        <v>#REF!</v>
      </c>
      <c r="Q182" s="66"/>
      <c r="R182" s="66">
        <f t="shared" si="7"/>
        <v>2</v>
      </c>
      <c r="S182" s="66"/>
    </row>
    <row r="183" spans="1:19" ht="27" customHeight="1">
      <c r="A183" s="190">
        <v>170</v>
      </c>
      <c r="B183" s="190" t="s">
        <v>245</v>
      </c>
      <c r="C183" s="190" t="s">
        <v>7</v>
      </c>
      <c r="D183" s="191">
        <v>122</v>
      </c>
      <c r="E183" s="191">
        <v>122</v>
      </c>
      <c r="F183" s="83"/>
      <c r="G183" s="83"/>
      <c r="H183" s="82" t="s">
        <v>533</v>
      </c>
      <c r="I183" s="82" t="s">
        <v>316</v>
      </c>
      <c r="J183" s="84"/>
      <c r="K183" s="194"/>
      <c r="L183" s="84"/>
      <c r="M183" s="87"/>
      <c r="N183" s="117" t="str">
        <f t="shared" si="6"/>
        <v>답공</v>
      </c>
      <c r="O183" s="66" t="str">
        <f t="shared" si="8"/>
        <v>-</v>
      </c>
      <c r="P183" s="71" t="e">
        <f>VLOOKUP($B183,#REF!,6,FALSE)</f>
        <v>#REF!</v>
      </c>
      <c r="Q183" s="66"/>
      <c r="R183" s="66">
        <f t="shared" si="7"/>
        <v>2</v>
      </c>
      <c r="S183" s="66"/>
    </row>
    <row r="184" spans="1:19" ht="27" customHeight="1">
      <c r="A184" s="190">
        <v>171</v>
      </c>
      <c r="B184" s="190" t="s">
        <v>246</v>
      </c>
      <c r="C184" s="190" t="s">
        <v>92</v>
      </c>
      <c r="D184" s="191">
        <v>25</v>
      </c>
      <c r="E184" s="191">
        <v>9</v>
      </c>
      <c r="F184" s="83"/>
      <c r="G184" s="83"/>
      <c r="H184" s="82" t="s">
        <v>533</v>
      </c>
      <c r="I184" s="82" t="s">
        <v>312</v>
      </c>
      <c r="J184" s="84"/>
      <c r="K184" s="194"/>
      <c r="L184" s="84"/>
      <c r="M184" s="87"/>
      <c r="N184" s="117" t="str">
        <f t="shared" si="6"/>
        <v>도공</v>
      </c>
      <c r="O184" s="66" t="str">
        <f t="shared" si="8"/>
        <v>-</v>
      </c>
      <c r="P184" s="71" t="e">
        <f>VLOOKUP($B184,#REF!,6,FALSE)</f>
        <v>#REF!</v>
      </c>
      <c r="Q184" s="66"/>
      <c r="R184" s="66">
        <f t="shared" si="7"/>
        <v>2</v>
      </c>
      <c r="S184" s="67"/>
    </row>
    <row r="185" spans="1:19" ht="27" customHeight="1">
      <c r="A185" s="190">
        <v>172</v>
      </c>
      <c r="B185" s="190" t="s">
        <v>247</v>
      </c>
      <c r="C185" s="190" t="s">
        <v>7</v>
      </c>
      <c r="D185" s="191">
        <v>920</v>
      </c>
      <c r="E185" s="191">
        <v>36</v>
      </c>
      <c r="F185" s="83"/>
      <c r="G185" s="83"/>
      <c r="H185" s="82" t="s">
        <v>464</v>
      </c>
      <c r="I185" s="82" t="s">
        <v>465</v>
      </c>
      <c r="J185" s="84"/>
      <c r="K185" s="194"/>
      <c r="L185" s="84"/>
      <c r="M185" s="87"/>
      <c r="N185" s="117" t="str">
        <f t="shared" si="6"/>
        <v>답한재헌</v>
      </c>
      <c r="O185" s="66" t="str">
        <f t="shared" si="8"/>
        <v>-</v>
      </c>
      <c r="P185" s="71" t="e">
        <f>VLOOKUP($B185,#REF!,6,FALSE)</f>
        <v>#REF!</v>
      </c>
      <c r="Q185" s="66"/>
      <c r="R185" s="66">
        <f t="shared" si="7"/>
        <v>2</v>
      </c>
      <c r="S185" s="67"/>
    </row>
    <row r="186" spans="1:19" ht="27" customHeight="1">
      <c r="A186" s="190">
        <v>173</v>
      </c>
      <c r="B186" s="190" t="s">
        <v>248</v>
      </c>
      <c r="C186" s="190" t="s">
        <v>7</v>
      </c>
      <c r="D186" s="191">
        <v>164</v>
      </c>
      <c r="E186" s="191">
        <v>114</v>
      </c>
      <c r="F186" s="83"/>
      <c r="G186" s="83"/>
      <c r="H186" s="82" t="s">
        <v>533</v>
      </c>
      <c r="I186" s="82" t="s">
        <v>316</v>
      </c>
      <c r="J186" s="84"/>
      <c r="K186" s="194"/>
      <c r="L186" s="84"/>
      <c r="M186" s="87"/>
      <c r="N186" s="117" t="str">
        <f t="shared" si="6"/>
        <v>답공</v>
      </c>
      <c r="O186" s="66" t="str">
        <f t="shared" si="8"/>
        <v>-</v>
      </c>
      <c r="P186" s="71" t="e">
        <f>VLOOKUP($B186,#REF!,6,FALSE)</f>
        <v>#REF!</v>
      </c>
      <c r="Q186" s="66"/>
      <c r="R186" s="66">
        <f t="shared" si="7"/>
        <v>2</v>
      </c>
      <c r="S186" s="67"/>
    </row>
    <row r="187" spans="1:19" ht="27" customHeight="1">
      <c r="A187" s="190">
        <v>174</v>
      </c>
      <c r="B187" s="190">
        <v>350</v>
      </c>
      <c r="C187" s="190" t="s">
        <v>6</v>
      </c>
      <c r="D187" s="191">
        <v>436</v>
      </c>
      <c r="E187" s="191">
        <v>189</v>
      </c>
      <c r="F187" s="83"/>
      <c r="G187" s="83"/>
      <c r="H187" s="82" t="s">
        <v>446</v>
      </c>
      <c r="I187" s="82">
        <v>464</v>
      </c>
      <c r="J187" s="84"/>
      <c r="K187" s="194"/>
      <c r="L187" s="84"/>
      <c r="M187" s="87"/>
      <c r="N187" s="117" t="str">
        <f t="shared" si="6"/>
        <v>전이석태</v>
      </c>
      <c r="O187" s="66" t="str">
        <f t="shared" si="8"/>
        <v>-</v>
      </c>
      <c r="P187" s="71" t="e">
        <f>VLOOKUP($B187,#REF!,6,FALSE)</f>
        <v>#REF!</v>
      </c>
      <c r="Q187" s="66"/>
      <c r="R187" s="66">
        <f t="shared" si="7"/>
        <v>2</v>
      </c>
      <c r="S187" s="67"/>
    </row>
    <row r="188" spans="1:19" ht="27" customHeight="1">
      <c r="A188" s="190">
        <v>175</v>
      </c>
      <c r="B188" s="190" t="s">
        <v>249</v>
      </c>
      <c r="C188" s="190" t="s">
        <v>7</v>
      </c>
      <c r="D188" s="191">
        <v>1048</v>
      </c>
      <c r="E188" s="191">
        <v>4</v>
      </c>
      <c r="F188" s="83"/>
      <c r="G188" s="83"/>
      <c r="H188" s="82" t="s">
        <v>460</v>
      </c>
      <c r="I188" s="157" t="s">
        <v>461</v>
      </c>
      <c r="J188" s="84"/>
      <c r="K188" s="194"/>
      <c r="L188" s="84"/>
      <c r="M188" s="87"/>
      <c r="N188" s="117" t="str">
        <f t="shared" si="6"/>
        <v>답김석분</v>
      </c>
      <c r="O188" s="66" t="str">
        <f t="shared" si="8"/>
        <v>-</v>
      </c>
      <c r="P188" s="71" t="e">
        <f>VLOOKUP($B188,#REF!,6,FALSE)</f>
        <v>#REF!</v>
      </c>
      <c r="Q188" s="66"/>
      <c r="R188" s="66">
        <f t="shared" si="7"/>
        <v>2</v>
      </c>
      <c r="S188" s="67"/>
    </row>
    <row r="189" spans="1:19" ht="27" customHeight="1">
      <c r="A189" s="190">
        <v>176</v>
      </c>
      <c r="B189" s="190" t="s">
        <v>250</v>
      </c>
      <c r="C189" s="190" t="s">
        <v>7</v>
      </c>
      <c r="D189" s="191">
        <v>1223</v>
      </c>
      <c r="E189" s="191">
        <v>55</v>
      </c>
      <c r="F189" s="83"/>
      <c r="G189" s="83"/>
      <c r="H189" s="82" t="s">
        <v>458</v>
      </c>
      <c r="I189" s="82" t="s">
        <v>459</v>
      </c>
      <c r="J189" s="84"/>
      <c r="K189" s="194"/>
      <c r="L189" s="84"/>
      <c r="M189" s="87"/>
      <c r="N189" s="117" t="str">
        <f t="shared" si="6"/>
        <v>답김헌섭</v>
      </c>
      <c r="O189" s="66" t="str">
        <f t="shared" si="8"/>
        <v>-</v>
      </c>
      <c r="P189" s="71" t="e">
        <f>VLOOKUP($B189,#REF!,6,FALSE)</f>
        <v>#REF!</v>
      </c>
      <c r="Q189" s="66"/>
      <c r="R189" s="66">
        <f t="shared" si="7"/>
        <v>2</v>
      </c>
      <c r="S189" s="67"/>
    </row>
    <row r="190" spans="1:19" ht="27" customHeight="1">
      <c r="A190" s="190">
        <v>177</v>
      </c>
      <c r="B190" s="190" t="s">
        <v>251</v>
      </c>
      <c r="C190" s="190" t="s">
        <v>67</v>
      </c>
      <c r="D190" s="191">
        <v>1603</v>
      </c>
      <c r="E190" s="191">
        <v>1603</v>
      </c>
      <c r="F190" s="83"/>
      <c r="G190" s="83"/>
      <c r="H190" s="82" t="s">
        <v>479</v>
      </c>
      <c r="I190" s="157" t="s">
        <v>480</v>
      </c>
      <c r="J190" s="84"/>
      <c r="K190" s="194"/>
      <c r="L190" s="84"/>
      <c r="M190" s="87"/>
      <c r="N190" s="117" t="str">
        <f t="shared" si="6"/>
        <v>임최석순</v>
      </c>
      <c r="O190" s="66" t="str">
        <f t="shared" si="8"/>
        <v>-</v>
      </c>
      <c r="P190" s="71" t="e">
        <f>VLOOKUP($B190,#REF!,6,FALSE)</f>
        <v>#REF!</v>
      </c>
      <c r="Q190" s="66"/>
      <c r="R190" s="66">
        <f t="shared" si="7"/>
        <v>2</v>
      </c>
      <c r="S190" s="67"/>
    </row>
    <row r="191" spans="1:19" ht="27" customHeight="1">
      <c r="A191" s="190">
        <v>178</v>
      </c>
      <c r="B191" s="190" t="s">
        <v>252</v>
      </c>
      <c r="C191" s="190" t="s">
        <v>67</v>
      </c>
      <c r="D191" s="191">
        <v>778</v>
      </c>
      <c r="E191" s="191">
        <v>778</v>
      </c>
      <c r="F191" s="83"/>
      <c r="G191" s="83"/>
      <c r="H191" s="82" t="s">
        <v>481</v>
      </c>
      <c r="I191" s="157" t="s">
        <v>482</v>
      </c>
      <c r="J191" s="84"/>
      <c r="K191" s="194"/>
      <c r="L191" s="84"/>
      <c r="M191" s="87"/>
      <c r="N191" s="117" t="str">
        <f t="shared" si="6"/>
        <v>임이석은</v>
      </c>
      <c r="O191" s="66" t="str">
        <f t="shared" si="8"/>
        <v>-</v>
      </c>
      <c r="P191" s="71" t="e">
        <f>VLOOKUP($B191,#REF!,6,FALSE)</f>
        <v>#REF!</v>
      </c>
      <c r="Q191" s="66"/>
      <c r="R191" s="66">
        <f t="shared" si="7"/>
        <v>2</v>
      </c>
      <c r="S191" s="67"/>
    </row>
    <row r="192" spans="1:19" ht="27" customHeight="1">
      <c r="A192" s="190">
        <v>179</v>
      </c>
      <c r="B192" s="190" t="s">
        <v>253</v>
      </c>
      <c r="C192" s="190" t="s">
        <v>7</v>
      </c>
      <c r="D192" s="191">
        <v>1591</v>
      </c>
      <c r="E192" s="191">
        <v>83</v>
      </c>
      <c r="F192" s="83"/>
      <c r="G192" s="83"/>
      <c r="H192" s="82" t="s">
        <v>456</v>
      </c>
      <c r="I192" s="156" t="s">
        <v>457</v>
      </c>
      <c r="J192" s="84"/>
      <c r="K192" s="194"/>
      <c r="L192" s="84"/>
      <c r="M192" s="87"/>
      <c r="N192" s="117" t="str">
        <f t="shared" si="6"/>
        <v>답이남석</v>
      </c>
      <c r="O192" s="66" t="str">
        <f t="shared" si="8"/>
        <v>-</v>
      </c>
      <c r="P192" s="71" t="e">
        <f>VLOOKUP($B192,#REF!,6,FALSE)</f>
        <v>#REF!</v>
      </c>
      <c r="Q192" s="66"/>
      <c r="R192" s="66">
        <f t="shared" si="7"/>
        <v>2</v>
      </c>
      <c r="S192" s="67"/>
    </row>
    <row r="193" spans="1:19" ht="27" customHeight="1">
      <c r="A193" s="190">
        <v>180</v>
      </c>
      <c r="B193" s="190">
        <v>348</v>
      </c>
      <c r="C193" s="190" t="s">
        <v>6</v>
      </c>
      <c r="D193" s="191">
        <v>215</v>
      </c>
      <c r="E193" s="191">
        <v>215</v>
      </c>
      <c r="F193" s="83"/>
      <c r="G193" s="83"/>
      <c r="H193" s="82" t="s">
        <v>441</v>
      </c>
      <c r="I193" s="156" t="s">
        <v>442</v>
      </c>
      <c r="J193" s="84" t="s">
        <v>568</v>
      </c>
      <c r="K193" s="194" t="s">
        <v>569</v>
      </c>
      <c r="L193" s="84" t="s">
        <v>542</v>
      </c>
      <c r="M193" s="87"/>
      <c r="N193" s="117" t="str">
        <f t="shared" si="6"/>
        <v>전강정화외 2인</v>
      </c>
      <c r="O193" s="66" t="str">
        <f t="shared" si="8"/>
        <v>-</v>
      </c>
      <c r="P193" s="71" t="e">
        <f>VLOOKUP($B193,#REF!,6,FALSE)</f>
        <v>#REF!</v>
      </c>
      <c r="Q193" s="66"/>
      <c r="R193" s="66">
        <f t="shared" si="7"/>
        <v>2</v>
      </c>
      <c r="S193" s="67"/>
    </row>
    <row r="194" spans="1:18" s="96" customFormat="1" ht="27" customHeight="1">
      <c r="A194" s="216" t="s">
        <v>273</v>
      </c>
      <c r="B194" s="216"/>
      <c r="C194" s="216"/>
      <c r="D194" s="112"/>
      <c r="E194" s="113">
        <f>SUM(E174:E193)</f>
        <v>8057</v>
      </c>
      <c r="F194" s="114"/>
      <c r="G194" s="114"/>
      <c r="H194" s="112"/>
      <c r="I194" s="112"/>
      <c r="J194" s="115"/>
      <c r="K194" s="115"/>
      <c r="L194" s="115"/>
      <c r="M194" s="116"/>
      <c r="N194" s="117">
        <f t="shared" si="6"/>
      </c>
      <c r="O194" s="118"/>
      <c r="P194" s="119"/>
      <c r="Q194" s="118"/>
      <c r="R194" s="118"/>
    </row>
    <row r="195" spans="1:19" ht="27" customHeight="1">
      <c r="A195" s="190">
        <v>181</v>
      </c>
      <c r="B195" s="190">
        <v>349</v>
      </c>
      <c r="C195" s="190" t="s">
        <v>7</v>
      </c>
      <c r="D195" s="191">
        <v>1123</v>
      </c>
      <c r="E195" s="191">
        <v>173</v>
      </c>
      <c r="F195" s="83"/>
      <c r="G195" s="83"/>
      <c r="H195" s="82" t="s">
        <v>441</v>
      </c>
      <c r="I195" s="156" t="s">
        <v>442</v>
      </c>
      <c r="J195" s="84" t="s">
        <v>568</v>
      </c>
      <c r="K195" s="194" t="s">
        <v>569</v>
      </c>
      <c r="L195" s="84" t="s">
        <v>542</v>
      </c>
      <c r="M195" s="87"/>
      <c r="N195" s="117" t="str">
        <f t="shared" si="6"/>
        <v>답강정화외 2인</v>
      </c>
      <c r="O195" s="66" t="str">
        <f t="shared" si="8"/>
        <v>-</v>
      </c>
      <c r="P195" s="71" t="e">
        <f>VLOOKUP($B195,#REF!,6,FALSE)</f>
        <v>#REF!</v>
      </c>
      <c r="Q195" s="66"/>
      <c r="R195" s="66">
        <f t="shared" si="7"/>
        <v>2</v>
      </c>
      <c r="S195" s="67"/>
    </row>
    <row r="196" spans="1:19" ht="27" customHeight="1">
      <c r="A196" s="190">
        <v>182</v>
      </c>
      <c r="B196" s="190">
        <v>344</v>
      </c>
      <c r="C196" s="190" t="s">
        <v>7</v>
      </c>
      <c r="D196" s="191">
        <v>1306</v>
      </c>
      <c r="E196" s="191">
        <v>80</v>
      </c>
      <c r="F196" s="83"/>
      <c r="G196" s="83"/>
      <c r="H196" s="82" t="s">
        <v>441</v>
      </c>
      <c r="I196" s="156" t="s">
        <v>442</v>
      </c>
      <c r="J196" s="84" t="s">
        <v>568</v>
      </c>
      <c r="K196" s="194" t="s">
        <v>569</v>
      </c>
      <c r="L196" s="84" t="s">
        <v>542</v>
      </c>
      <c r="M196" s="87"/>
      <c r="N196" s="117" t="str">
        <f t="shared" si="6"/>
        <v>답강정화외 2인</v>
      </c>
      <c r="O196" s="66" t="str">
        <f t="shared" si="8"/>
        <v>-</v>
      </c>
      <c r="P196" s="71" t="e">
        <f>VLOOKUP($B196,#REF!,6,FALSE)</f>
        <v>#REF!</v>
      </c>
      <c r="Q196" s="56"/>
      <c r="R196" s="66">
        <f t="shared" si="7"/>
        <v>2</v>
      </c>
      <c r="S196" s="66"/>
    </row>
    <row r="197" spans="1:19" ht="27" customHeight="1">
      <c r="A197" s="190">
        <v>183</v>
      </c>
      <c r="B197" s="190">
        <v>346</v>
      </c>
      <c r="C197" s="190" t="s">
        <v>7</v>
      </c>
      <c r="D197" s="191">
        <v>1507</v>
      </c>
      <c r="E197" s="191">
        <v>1310</v>
      </c>
      <c r="F197" s="83"/>
      <c r="G197" s="83"/>
      <c r="H197" s="82" t="s">
        <v>443</v>
      </c>
      <c r="I197" s="82" t="s">
        <v>444</v>
      </c>
      <c r="J197" s="84"/>
      <c r="K197" s="194"/>
      <c r="L197" s="84"/>
      <c r="M197" s="87"/>
      <c r="N197" s="117" t="str">
        <f t="shared" si="6"/>
        <v>답김석출</v>
      </c>
      <c r="O197" s="66" t="str">
        <f t="shared" si="8"/>
        <v>-</v>
      </c>
      <c r="P197" s="71" t="e">
        <f>VLOOKUP($B197,#REF!,6,FALSE)</f>
        <v>#REF!</v>
      </c>
      <c r="Q197" s="56"/>
      <c r="R197" s="66">
        <f t="shared" si="7"/>
        <v>2</v>
      </c>
      <c r="S197" s="66"/>
    </row>
    <row r="198" spans="1:19" ht="27" customHeight="1">
      <c r="A198" s="190">
        <v>184</v>
      </c>
      <c r="B198" s="190">
        <v>345</v>
      </c>
      <c r="C198" s="190" t="s">
        <v>7</v>
      </c>
      <c r="D198" s="191">
        <v>1927</v>
      </c>
      <c r="E198" s="191">
        <v>192</v>
      </c>
      <c r="F198" s="83"/>
      <c r="G198" s="83"/>
      <c r="H198" s="82" t="s">
        <v>441</v>
      </c>
      <c r="I198" s="156" t="s">
        <v>442</v>
      </c>
      <c r="J198" s="84" t="s">
        <v>568</v>
      </c>
      <c r="K198" s="194" t="s">
        <v>569</v>
      </c>
      <c r="L198" s="84" t="s">
        <v>542</v>
      </c>
      <c r="M198" s="87"/>
      <c r="N198" s="117" t="str">
        <f t="shared" si="6"/>
        <v>답강정화외 2인</v>
      </c>
      <c r="O198" s="66" t="str">
        <f t="shared" si="8"/>
        <v>-</v>
      </c>
      <c r="P198" s="71" t="e">
        <f>VLOOKUP($B198,#REF!,6,FALSE)</f>
        <v>#REF!</v>
      </c>
      <c r="Q198" s="56"/>
      <c r="R198" s="66">
        <f t="shared" si="7"/>
        <v>2</v>
      </c>
      <c r="S198" s="66"/>
    </row>
    <row r="199" spans="1:19" ht="27" customHeight="1">
      <c r="A199" s="190">
        <v>185</v>
      </c>
      <c r="B199" s="190">
        <v>347</v>
      </c>
      <c r="C199" s="190" t="s">
        <v>7</v>
      </c>
      <c r="D199" s="191">
        <v>364</v>
      </c>
      <c r="E199" s="191">
        <v>364</v>
      </c>
      <c r="F199" s="83"/>
      <c r="G199" s="83"/>
      <c r="H199" s="82" t="s">
        <v>443</v>
      </c>
      <c r="I199" s="156" t="s">
        <v>445</v>
      </c>
      <c r="J199" s="84"/>
      <c r="K199" s="194"/>
      <c r="L199" s="84"/>
      <c r="M199" s="87"/>
      <c r="N199" s="117" t="str">
        <f aca="true" t="shared" si="9" ref="N199:N255">CONCATENATE(C199,H199)</f>
        <v>답김석출</v>
      </c>
      <c r="O199" s="66" t="str">
        <f t="shared" si="8"/>
        <v>-</v>
      </c>
      <c r="P199" s="71" t="e">
        <f>VLOOKUP($B199,#REF!,6,FALSE)</f>
        <v>#REF!</v>
      </c>
      <c r="Q199" s="56"/>
      <c r="R199" s="66">
        <f t="shared" si="7"/>
        <v>2</v>
      </c>
      <c r="S199" s="66"/>
    </row>
    <row r="200" spans="1:19" ht="27" customHeight="1">
      <c r="A200" s="190">
        <v>186</v>
      </c>
      <c r="B200" s="190" t="s">
        <v>254</v>
      </c>
      <c r="C200" s="190" t="s">
        <v>6</v>
      </c>
      <c r="D200" s="191">
        <v>202</v>
      </c>
      <c r="E200" s="191">
        <v>202</v>
      </c>
      <c r="F200" s="83"/>
      <c r="G200" s="83"/>
      <c r="H200" s="82" t="s">
        <v>533</v>
      </c>
      <c r="I200" s="82" t="s">
        <v>312</v>
      </c>
      <c r="J200" s="84"/>
      <c r="K200" s="194"/>
      <c r="L200" s="84"/>
      <c r="M200" s="87"/>
      <c r="N200" s="117" t="str">
        <f t="shared" si="9"/>
        <v>전공</v>
      </c>
      <c r="O200" s="66" t="str">
        <f t="shared" si="8"/>
        <v>-</v>
      </c>
      <c r="P200" s="71" t="e">
        <f>VLOOKUP($B200,#REF!,6,FALSE)</f>
        <v>#REF!</v>
      </c>
      <c r="Q200" s="66"/>
      <c r="R200" s="66">
        <f t="shared" si="7"/>
        <v>2</v>
      </c>
      <c r="S200" s="66"/>
    </row>
    <row r="201" spans="1:19" ht="27" customHeight="1">
      <c r="A201" s="190">
        <v>187</v>
      </c>
      <c r="B201" s="190">
        <v>694</v>
      </c>
      <c r="C201" s="190" t="s">
        <v>92</v>
      </c>
      <c r="D201" s="191">
        <v>6050</v>
      </c>
      <c r="E201" s="191">
        <v>1530</v>
      </c>
      <c r="F201" s="83"/>
      <c r="G201" s="83"/>
      <c r="H201" s="82" t="s">
        <v>310</v>
      </c>
      <c r="I201" s="82" t="s">
        <v>315</v>
      </c>
      <c r="J201" s="84"/>
      <c r="K201" s="194"/>
      <c r="L201" s="84"/>
      <c r="M201" s="87"/>
      <c r="N201" s="117" t="str">
        <f t="shared" si="9"/>
        <v>도국</v>
      </c>
      <c r="O201" s="66" t="str">
        <f t="shared" si="8"/>
        <v>-</v>
      </c>
      <c r="P201" s="71" t="e">
        <f>VLOOKUP($B201,#REF!,6,FALSE)</f>
        <v>#REF!</v>
      </c>
      <c r="Q201" s="66"/>
      <c r="R201" s="66">
        <f t="shared" si="7"/>
        <v>2</v>
      </c>
      <c r="S201" s="66"/>
    </row>
    <row r="202" spans="1:19" ht="27" customHeight="1">
      <c r="A202" s="190">
        <v>188</v>
      </c>
      <c r="B202" s="190" t="s">
        <v>255</v>
      </c>
      <c r="C202" s="190" t="s">
        <v>6</v>
      </c>
      <c r="D202" s="191">
        <v>109</v>
      </c>
      <c r="E202" s="191">
        <v>109</v>
      </c>
      <c r="F202" s="83"/>
      <c r="G202" s="83"/>
      <c r="H202" s="82" t="s">
        <v>533</v>
      </c>
      <c r="I202" s="82" t="s">
        <v>312</v>
      </c>
      <c r="J202" s="84"/>
      <c r="K202" s="194"/>
      <c r="L202" s="84"/>
      <c r="M202" s="87"/>
      <c r="N202" s="117" t="str">
        <f t="shared" si="9"/>
        <v>전공</v>
      </c>
      <c r="O202" s="66" t="str">
        <f t="shared" si="8"/>
        <v>-</v>
      </c>
      <c r="P202" s="71" t="e">
        <f>VLOOKUP($B202,#REF!,6,FALSE)</f>
        <v>#REF!</v>
      </c>
      <c r="Q202" s="66"/>
      <c r="R202" s="66">
        <f t="shared" si="7"/>
        <v>2</v>
      </c>
      <c r="S202" s="66"/>
    </row>
    <row r="203" spans="1:19" ht="27" customHeight="1">
      <c r="A203" s="190">
        <v>189</v>
      </c>
      <c r="B203" s="190">
        <v>338</v>
      </c>
      <c r="C203" s="190" t="s">
        <v>7</v>
      </c>
      <c r="D203" s="191">
        <v>2096</v>
      </c>
      <c r="E203" s="191">
        <v>16</v>
      </c>
      <c r="F203" s="83"/>
      <c r="G203" s="83"/>
      <c r="H203" s="82" t="s">
        <v>439</v>
      </c>
      <c r="I203" s="157" t="s">
        <v>440</v>
      </c>
      <c r="J203" s="84"/>
      <c r="K203" s="194"/>
      <c r="L203" s="84"/>
      <c r="M203" s="87"/>
      <c r="N203" s="117" t="str">
        <f t="shared" si="9"/>
        <v>답주은선</v>
      </c>
      <c r="O203" s="66" t="str">
        <f t="shared" si="8"/>
        <v>-</v>
      </c>
      <c r="P203" s="71" t="e">
        <f>VLOOKUP($B203,#REF!,6,FALSE)</f>
        <v>#REF!</v>
      </c>
      <c r="Q203" s="66"/>
      <c r="R203" s="66">
        <f t="shared" si="7"/>
        <v>2</v>
      </c>
      <c r="S203" s="66"/>
    </row>
    <row r="204" spans="1:19" ht="27" customHeight="1">
      <c r="A204" s="190">
        <v>190</v>
      </c>
      <c r="B204" s="190" t="s">
        <v>256</v>
      </c>
      <c r="C204" s="190" t="s">
        <v>6</v>
      </c>
      <c r="D204" s="191">
        <v>366</v>
      </c>
      <c r="E204" s="191">
        <v>366</v>
      </c>
      <c r="F204" s="83"/>
      <c r="G204" s="83"/>
      <c r="H204" s="82" t="s">
        <v>450</v>
      </c>
      <c r="I204" s="157" t="s">
        <v>451</v>
      </c>
      <c r="J204" s="84" t="s">
        <v>570</v>
      </c>
      <c r="K204" s="194" t="s">
        <v>571</v>
      </c>
      <c r="L204" s="84" t="s">
        <v>549</v>
      </c>
      <c r="M204" s="87"/>
      <c r="N204" s="117" t="str">
        <f t="shared" si="9"/>
        <v>전권성훈</v>
      </c>
      <c r="O204" s="66" t="str">
        <f t="shared" si="8"/>
        <v>-</v>
      </c>
      <c r="P204" s="71" t="e">
        <f>VLOOKUP($B204,#REF!,6,FALSE)</f>
        <v>#REF!</v>
      </c>
      <c r="Q204" s="66"/>
      <c r="R204" s="66">
        <f t="shared" si="7"/>
        <v>2</v>
      </c>
      <c r="S204" s="66"/>
    </row>
    <row r="205" spans="1:19" ht="27" customHeight="1">
      <c r="A205" s="190">
        <v>191</v>
      </c>
      <c r="B205" s="190" t="s">
        <v>257</v>
      </c>
      <c r="C205" s="190" t="s">
        <v>6</v>
      </c>
      <c r="D205" s="191">
        <v>482</v>
      </c>
      <c r="E205" s="191">
        <v>482</v>
      </c>
      <c r="F205" s="83"/>
      <c r="G205" s="83"/>
      <c r="H205" s="82" t="s">
        <v>450</v>
      </c>
      <c r="I205" s="157" t="s">
        <v>451</v>
      </c>
      <c r="J205" s="84"/>
      <c r="K205" s="194"/>
      <c r="L205" s="84"/>
      <c r="M205" s="85" t="s">
        <v>575</v>
      </c>
      <c r="N205" s="117" t="str">
        <f t="shared" si="9"/>
        <v>전권성훈</v>
      </c>
      <c r="O205" s="66" t="str">
        <f t="shared" si="8"/>
        <v>-</v>
      </c>
      <c r="P205" s="71" t="e">
        <f>VLOOKUP($B205,#REF!,6,FALSE)</f>
        <v>#REF!</v>
      </c>
      <c r="Q205" s="66"/>
      <c r="R205" s="66">
        <f t="shared" si="7"/>
        <v>2</v>
      </c>
      <c r="S205" s="66"/>
    </row>
    <row r="206" spans="1:19" ht="27" customHeight="1">
      <c r="A206" s="190">
        <v>192</v>
      </c>
      <c r="B206" s="190" t="s">
        <v>258</v>
      </c>
      <c r="C206" s="190" t="s">
        <v>6</v>
      </c>
      <c r="D206" s="191">
        <v>559</v>
      </c>
      <c r="E206" s="191">
        <v>435</v>
      </c>
      <c r="F206" s="83"/>
      <c r="G206" s="83"/>
      <c r="H206" s="82" t="s">
        <v>452</v>
      </c>
      <c r="I206" s="157" t="s">
        <v>453</v>
      </c>
      <c r="J206" s="84"/>
      <c r="K206" s="194"/>
      <c r="L206" s="84"/>
      <c r="M206" s="87"/>
      <c r="N206" s="117" t="str">
        <f t="shared" si="9"/>
        <v>전오현숙</v>
      </c>
      <c r="O206" s="66" t="str">
        <f t="shared" si="8"/>
        <v>-</v>
      </c>
      <c r="P206" s="71" t="e">
        <f>VLOOKUP($B206,#REF!,6,FALSE)</f>
        <v>#REF!</v>
      </c>
      <c r="Q206" s="66"/>
      <c r="R206" s="66">
        <f t="shared" si="7"/>
        <v>2</v>
      </c>
      <c r="S206" s="67"/>
    </row>
    <row r="207" spans="1:19" ht="27" customHeight="1">
      <c r="A207" s="190">
        <v>193</v>
      </c>
      <c r="B207" s="190" t="s">
        <v>259</v>
      </c>
      <c r="C207" s="190" t="s">
        <v>6</v>
      </c>
      <c r="D207" s="191">
        <v>353</v>
      </c>
      <c r="E207" s="191">
        <v>353</v>
      </c>
      <c r="F207" s="83"/>
      <c r="G207" s="83"/>
      <c r="H207" s="82" t="s">
        <v>533</v>
      </c>
      <c r="I207" s="82" t="s">
        <v>312</v>
      </c>
      <c r="J207" s="84"/>
      <c r="K207" s="194"/>
      <c r="L207" s="84"/>
      <c r="M207" s="87"/>
      <c r="N207" s="117" t="str">
        <f t="shared" si="9"/>
        <v>전공</v>
      </c>
      <c r="O207" s="66" t="str">
        <f t="shared" si="8"/>
        <v>-</v>
      </c>
      <c r="P207" s="71" t="e">
        <f>VLOOKUP($B207,#REF!,6,FALSE)</f>
        <v>#REF!</v>
      </c>
      <c r="Q207" s="66"/>
      <c r="R207" s="66">
        <f t="shared" si="7"/>
        <v>2</v>
      </c>
      <c r="S207" s="67"/>
    </row>
    <row r="208" spans="1:19" ht="27" customHeight="1">
      <c r="A208" s="190">
        <v>194</v>
      </c>
      <c r="B208" s="190" t="s">
        <v>260</v>
      </c>
      <c r="C208" s="190" t="s">
        <v>6</v>
      </c>
      <c r="D208" s="191">
        <v>902</v>
      </c>
      <c r="E208" s="191">
        <v>521</v>
      </c>
      <c r="F208" s="83"/>
      <c r="G208" s="83"/>
      <c r="H208" s="82" t="s">
        <v>454</v>
      </c>
      <c r="I208" s="157" t="s">
        <v>455</v>
      </c>
      <c r="J208" s="204" t="s">
        <v>572</v>
      </c>
      <c r="K208" s="206" t="s">
        <v>573</v>
      </c>
      <c r="L208" s="84" t="s">
        <v>549</v>
      </c>
      <c r="M208" s="87"/>
      <c r="N208" s="117" t="str">
        <f t="shared" si="9"/>
        <v>전권준열외 1인</v>
      </c>
      <c r="O208" s="66" t="str">
        <f t="shared" si="8"/>
        <v>-</v>
      </c>
      <c r="P208" s="71" t="e">
        <f>VLOOKUP($B208,#REF!,6,FALSE)</f>
        <v>#REF!</v>
      </c>
      <c r="Q208" s="66"/>
      <c r="R208" s="66">
        <f aca="true" t="shared" si="10" ref="R208:R238">IF(C208=Q208,0,2)</f>
        <v>2</v>
      </c>
      <c r="S208" s="67"/>
    </row>
    <row r="209" spans="1:19" ht="27" customHeight="1">
      <c r="A209" s="190">
        <v>195</v>
      </c>
      <c r="B209" s="190" t="s">
        <v>261</v>
      </c>
      <c r="C209" s="190" t="s">
        <v>6</v>
      </c>
      <c r="D209" s="191">
        <v>781</v>
      </c>
      <c r="E209" s="191">
        <v>781</v>
      </c>
      <c r="F209" s="83"/>
      <c r="G209" s="83"/>
      <c r="H209" s="82" t="s">
        <v>533</v>
      </c>
      <c r="I209" s="82" t="s">
        <v>312</v>
      </c>
      <c r="J209" s="84"/>
      <c r="K209" s="194"/>
      <c r="L209" s="84"/>
      <c r="M209" s="87"/>
      <c r="N209" s="117" t="str">
        <f t="shared" si="9"/>
        <v>전공</v>
      </c>
      <c r="O209" s="66" t="str">
        <f aca="true" t="shared" si="11" ref="O209:O256">IF(D209&gt;=E209,"-","ERR")</f>
        <v>-</v>
      </c>
      <c r="P209" s="71" t="e">
        <f>VLOOKUP($B209,#REF!,6,FALSE)</f>
        <v>#REF!</v>
      </c>
      <c r="Q209" s="66"/>
      <c r="R209" s="66">
        <f t="shared" si="10"/>
        <v>2</v>
      </c>
      <c r="S209" s="67"/>
    </row>
    <row r="210" spans="1:19" ht="27" customHeight="1">
      <c r="A210" s="190">
        <v>196</v>
      </c>
      <c r="B210" s="190" t="s">
        <v>262</v>
      </c>
      <c r="C210" s="190" t="s">
        <v>6</v>
      </c>
      <c r="D210" s="191">
        <v>1229</v>
      </c>
      <c r="E210" s="191">
        <v>397</v>
      </c>
      <c r="F210" s="83"/>
      <c r="G210" s="83"/>
      <c r="H210" s="82" t="s">
        <v>467</v>
      </c>
      <c r="I210" s="157" t="s">
        <v>468</v>
      </c>
      <c r="J210" s="84" t="s">
        <v>574</v>
      </c>
      <c r="K210" s="205" t="s">
        <v>578</v>
      </c>
      <c r="L210" s="84" t="s">
        <v>549</v>
      </c>
      <c r="M210" s="87"/>
      <c r="N210" s="117" t="str">
        <f t="shared" si="9"/>
        <v>전조범식</v>
      </c>
      <c r="O210" s="66" t="str">
        <f t="shared" si="11"/>
        <v>-</v>
      </c>
      <c r="P210" s="71" t="e">
        <f>VLOOKUP($B210,#REF!,6,FALSE)</f>
        <v>#REF!</v>
      </c>
      <c r="Q210" s="66"/>
      <c r="R210" s="66">
        <f t="shared" si="10"/>
        <v>2</v>
      </c>
      <c r="S210" s="67"/>
    </row>
    <row r="211" spans="1:19" ht="27" customHeight="1">
      <c r="A211" s="190">
        <v>197</v>
      </c>
      <c r="B211" s="190" t="s">
        <v>263</v>
      </c>
      <c r="C211" s="190" t="s">
        <v>7</v>
      </c>
      <c r="D211" s="191">
        <v>58</v>
      </c>
      <c r="E211" s="191">
        <v>58</v>
      </c>
      <c r="F211" s="83"/>
      <c r="G211" s="83"/>
      <c r="H211" s="82" t="s">
        <v>533</v>
      </c>
      <c r="I211" s="82" t="s">
        <v>312</v>
      </c>
      <c r="J211" s="84"/>
      <c r="K211" s="194"/>
      <c r="L211" s="84"/>
      <c r="M211" s="87"/>
      <c r="N211" s="117" t="str">
        <f t="shared" si="9"/>
        <v>답공</v>
      </c>
      <c r="O211" s="66" t="str">
        <f t="shared" si="11"/>
        <v>-</v>
      </c>
      <c r="P211" s="71" t="e">
        <f>VLOOKUP($B211,#REF!,6,FALSE)</f>
        <v>#REF!</v>
      </c>
      <c r="Q211" s="66"/>
      <c r="R211" s="66">
        <f t="shared" si="10"/>
        <v>2</v>
      </c>
      <c r="S211" s="67"/>
    </row>
    <row r="212" spans="1:19" ht="27" customHeight="1">
      <c r="A212" s="190">
        <v>198</v>
      </c>
      <c r="B212" s="190" t="s">
        <v>264</v>
      </c>
      <c r="C212" s="190" t="s">
        <v>6</v>
      </c>
      <c r="D212" s="191">
        <v>285</v>
      </c>
      <c r="E212" s="191">
        <v>285</v>
      </c>
      <c r="F212" s="83"/>
      <c r="G212" s="83"/>
      <c r="H212" s="82" t="s">
        <v>533</v>
      </c>
      <c r="I212" s="82" t="s">
        <v>312</v>
      </c>
      <c r="J212" s="204"/>
      <c r="K212" s="206"/>
      <c r="L212" s="84"/>
      <c r="M212" s="87"/>
      <c r="N212" s="117" t="str">
        <f t="shared" si="9"/>
        <v>전공</v>
      </c>
      <c r="O212" s="66" t="str">
        <f t="shared" si="11"/>
        <v>-</v>
      </c>
      <c r="P212" s="71" t="e">
        <f>VLOOKUP($B212,#REF!,6,FALSE)</f>
        <v>#REF!</v>
      </c>
      <c r="Q212" s="66"/>
      <c r="R212" s="66">
        <f t="shared" si="10"/>
        <v>2</v>
      </c>
      <c r="S212" s="67"/>
    </row>
    <row r="213" spans="1:19" ht="27" customHeight="1">
      <c r="A213" s="190">
        <v>199</v>
      </c>
      <c r="B213" s="190" t="s">
        <v>265</v>
      </c>
      <c r="C213" s="190" t="s">
        <v>6</v>
      </c>
      <c r="D213" s="191">
        <v>130</v>
      </c>
      <c r="E213" s="191">
        <v>130</v>
      </c>
      <c r="F213" s="83"/>
      <c r="G213" s="83"/>
      <c r="H213" s="82" t="s">
        <v>533</v>
      </c>
      <c r="I213" s="82" t="s">
        <v>312</v>
      </c>
      <c r="J213" s="84"/>
      <c r="K213" s="194"/>
      <c r="L213" s="84"/>
      <c r="M213" s="87"/>
      <c r="N213" s="117" t="str">
        <f t="shared" si="9"/>
        <v>전공</v>
      </c>
      <c r="O213" s="66" t="str">
        <f t="shared" si="11"/>
        <v>-</v>
      </c>
      <c r="P213" s="71" t="e">
        <f>VLOOKUP($B213,#REF!,6,FALSE)</f>
        <v>#REF!</v>
      </c>
      <c r="Q213" s="66"/>
      <c r="R213" s="66">
        <f t="shared" si="10"/>
        <v>2</v>
      </c>
      <c r="S213" s="67"/>
    </row>
    <row r="214" spans="1:19" ht="27" customHeight="1">
      <c r="A214" s="190">
        <v>200</v>
      </c>
      <c r="B214" s="190" t="s">
        <v>266</v>
      </c>
      <c r="C214" s="190" t="s">
        <v>6</v>
      </c>
      <c r="D214" s="191">
        <v>29</v>
      </c>
      <c r="E214" s="191">
        <v>29</v>
      </c>
      <c r="F214" s="83"/>
      <c r="G214" s="83"/>
      <c r="H214" s="82" t="s">
        <v>533</v>
      </c>
      <c r="I214" s="82" t="s">
        <v>312</v>
      </c>
      <c r="J214" s="84"/>
      <c r="K214" s="205"/>
      <c r="L214" s="84"/>
      <c r="M214" s="87"/>
      <c r="N214" s="117" t="str">
        <f t="shared" si="9"/>
        <v>전공</v>
      </c>
      <c r="O214" s="66" t="str">
        <f t="shared" si="11"/>
        <v>-</v>
      </c>
      <c r="P214" s="71" t="e">
        <f>VLOOKUP($B214,#REF!,6,FALSE)</f>
        <v>#REF!</v>
      </c>
      <c r="Q214" s="66"/>
      <c r="R214" s="66">
        <f t="shared" si="10"/>
        <v>2</v>
      </c>
      <c r="S214" s="67"/>
    </row>
    <row r="215" spans="1:18" s="96" customFormat="1" ht="27" customHeight="1">
      <c r="A215" s="216" t="s">
        <v>273</v>
      </c>
      <c r="B215" s="216"/>
      <c r="C215" s="216"/>
      <c r="D215" s="112"/>
      <c r="E215" s="113">
        <f>SUM(E195:E214)</f>
        <v>7813</v>
      </c>
      <c r="F215" s="114"/>
      <c r="G215" s="114"/>
      <c r="H215" s="112"/>
      <c r="I215" s="112"/>
      <c r="J215" s="115"/>
      <c r="K215" s="115"/>
      <c r="L215" s="115"/>
      <c r="M215" s="116"/>
      <c r="N215" s="117">
        <f t="shared" si="9"/>
      </c>
      <c r="O215" s="118"/>
      <c r="P215" s="119"/>
      <c r="Q215" s="118"/>
      <c r="R215" s="118"/>
    </row>
    <row r="216" spans="1:19" ht="27" customHeight="1">
      <c r="A216" s="190">
        <v>201</v>
      </c>
      <c r="B216" s="190" t="s">
        <v>267</v>
      </c>
      <c r="C216" s="190" t="s">
        <v>7</v>
      </c>
      <c r="D216" s="191">
        <v>285</v>
      </c>
      <c r="E216" s="191">
        <v>130</v>
      </c>
      <c r="F216" s="83"/>
      <c r="G216" s="83"/>
      <c r="H216" s="82" t="s">
        <v>466</v>
      </c>
      <c r="I216" s="82">
        <v>48</v>
      </c>
      <c r="J216" s="84"/>
      <c r="K216" s="194"/>
      <c r="L216" s="84"/>
      <c r="M216" s="87"/>
      <c r="N216" s="117" t="str">
        <f t="shared" si="9"/>
        <v>답안병훈</v>
      </c>
      <c r="O216" s="66" t="str">
        <f t="shared" si="11"/>
        <v>-</v>
      </c>
      <c r="P216" s="71" t="e">
        <f>VLOOKUP($B216,#REF!,6,FALSE)</f>
        <v>#REF!</v>
      </c>
      <c r="Q216" s="66"/>
      <c r="R216" s="66">
        <f t="shared" si="10"/>
        <v>2</v>
      </c>
      <c r="S216" s="67"/>
    </row>
    <row r="217" spans="1:19" ht="27" customHeight="1">
      <c r="A217" s="190">
        <v>202</v>
      </c>
      <c r="B217" s="190" t="s">
        <v>268</v>
      </c>
      <c r="C217" s="190" t="s">
        <v>6</v>
      </c>
      <c r="D217" s="191">
        <v>464</v>
      </c>
      <c r="E217" s="191">
        <v>354</v>
      </c>
      <c r="F217" s="83"/>
      <c r="G217" s="83"/>
      <c r="H217" s="82" t="s">
        <v>462</v>
      </c>
      <c r="I217" s="157" t="s">
        <v>463</v>
      </c>
      <c r="J217" s="84"/>
      <c r="K217" s="194"/>
      <c r="L217" s="84"/>
      <c r="M217" s="87"/>
      <c r="N217" s="117" t="str">
        <f t="shared" si="9"/>
        <v>전최낙현</v>
      </c>
      <c r="O217" s="66" t="str">
        <f t="shared" si="11"/>
        <v>-</v>
      </c>
      <c r="P217" s="71" t="e">
        <f>VLOOKUP($B217,#REF!,6,FALSE)</f>
        <v>#REF!</v>
      </c>
      <c r="Q217" s="66"/>
      <c r="R217" s="66">
        <f t="shared" si="10"/>
        <v>2</v>
      </c>
      <c r="S217" s="67"/>
    </row>
    <row r="218" spans="1:19" ht="27" customHeight="1">
      <c r="A218" s="190">
        <v>203</v>
      </c>
      <c r="B218" s="190" t="s">
        <v>269</v>
      </c>
      <c r="C218" s="190" t="s">
        <v>6</v>
      </c>
      <c r="D218" s="191">
        <v>1033</v>
      </c>
      <c r="E218" s="191">
        <v>229</v>
      </c>
      <c r="F218" s="83"/>
      <c r="G218" s="83"/>
      <c r="H218" s="82" t="s">
        <v>533</v>
      </c>
      <c r="I218" s="82" t="s">
        <v>312</v>
      </c>
      <c r="J218" s="84"/>
      <c r="K218" s="194"/>
      <c r="L218" s="84"/>
      <c r="M218" s="87"/>
      <c r="N218" s="117" t="str">
        <f t="shared" si="9"/>
        <v>전공</v>
      </c>
      <c r="O218" s="66" t="str">
        <f t="shared" si="11"/>
        <v>-</v>
      </c>
      <c r="P218" s="71" t="e">
        <f>VLOOKUP($B218,#REF!,6,FALSE)</f>
        <v>#REF!</v>
      </c>
      <c r="Q218" s="66"/>
      <c r="R218" s="66">
        <f t="shared" si="10"/>
        <v>2</v>
      </c>
      <c r="S218" s="67"/>
    </row>
    <row r="219" spans="1:19" ht="27" customHeight="1">
      <c r="A219" s="190">
        <v>204</v>
      </c>
      <c r="B219" s="190" t="s">
        <v>270</v>
      </c>
      <c r="C219" s="190" t="s">
        <v>6</v>
      </c>
      <c r="D219" s="191">
        <v>1184</v>
      </c>
      <c r="E219" s="191">
        <v>250</v>
      </c>
      <c r="F219" s="83"/>
      <c r="G219" s="83"/>
      <c r="H219" s="82" t="s">
        <v>471</v>
      </c>
      <c r="I219" s="82" t="s">
        <v>472</v>
      </c>
      <c r="J219" s="84"/>
      <c r="K219" s="194"/>
      <c r="L219" s="84"/>
      <c r="M219" s="87"/>
      <c r="N219" s="117" t="str">
        <f t="shared" si="9"/>
        <v>전하연이</v>
      </c>
      <c r="O219" s="66" t="str">
        <f t="shared" si="11"/>
        <v>-</v>
      </c>
      <c r="P219" s="71" t="e">
        <f>VLOOKUP($B219,#REF!,6,FALSE)</f>
        <v>#REF!</v>
      </c>
      <c r="Q219" s="66"/>
      <c r="R219" s="66">
        <f t="shared" si="10"/>
        <v>2</v>
      </c>
      <c r="S219" s="67"/>
    </row>
    <row r="220" spans="1:19" ht="27" customHeight="1">
      <c r="A220" s="190">
        <v>205</v>
      </c>
      <c r="B220" s="190" t="s">
        <v>271</v>
      </c>
      <c r="C220" s="190" t="s">
        <v>6</v>
      </c>
      <c r="D220" s="191">
        <v>108</v>
      </c>
      <c r="E220" s="191">
        <v>108</v>
      </c>
      <c r="F220" s="83"/>
      <c r="G220" s="83"/>
      <c r="H220" s="82" t="s">
        <v>356</v>
      </c>
      <c r="I220" s="157" t="s">
        <v>473</v>
      </c>
      <c r="J220" s="84"/>
      <c r="K220" s="194"/>
      <c r="L220" s="84"/>
      <c r="M220" s="87"/>
      <c r="N220" s="117" t="str">
        <f t="shared" si="9"/>
        <v>전김병대</v>
      </c>
      <c r="O220" s="66" t="str">
        <f t="shared" si="11"/>
        <v>-</v>
      </c>
      <c r="P220" s="71" t="e">
        <f>VLOOKUP($B220,#REF!,6,FALSE)</f>
        <v>#REF!</v>
      </c>
      <c r="Q220" s="66"/>
      <c r="R220" s="66">
        <f t="shared" si="10"/>
        <v>2</v>
      </c>
      <c r="S220" s="67"/>
    </row>
    <row r="221" spans="1:19" ht="27" customHeight="1">
      <c r="A221" s="190">
        <v>206</v>
      </c>
      <c r="B221" s="190">
        <v>685</v>
      </c>
      <c r="C221" s="190" t="s">
        <v>131</v>
      </c>
      <c r="D221" s="191">
        <v>97073</v>
      </c>
      <c r="E221" s="191">
        <v>119</v>
      </c>
      <c r="F221" s="83"/>
      <c r="G221" s="83"/>
      <c r="H221" s="82" t="s">
        <v>310</v>
      </c>
      <c r="I221" s="82" t="s">
        <v>330</v>
      </c>
      <c r="J221" s="84"/>
      <c r="K221" s="194"/>
      <c r="L221" s="84"/>
      <c r="M221" s="87"/>
      <c r="N221" s="117" t="str">
        <f t="shared" si="9"/>
        <v>천국</v>
      </c>
      <c r="O221" s="66" t="str">
        <f t="shared" si="11"/>
        <v>-</v>
      </c>
      <c r="P221" s="71" t="e">
        <f>VLOOKUP($B221,#REF!,6,FALSE)</f>
        <v>#REF!</v>
      </c>
      <c r="Q221" s="66"/>
      <c r="R221" s="66">
        <f t="shared" si="10"/>
        <v>2</v>
      </c>
      <c r="S221" s="67"/>
    </row>
    <row r="222" spans="1:19" ht="27" customHeight="1">
      <c r="A222" s="190"/>
      <c r="B222" s="190"/>
      <c r="C222" s="190"/>
      <c r="D222" s="191"/>
      <c r="E222" s="191"/>
      <c r="F222" s="83"/>
      <c r="G222" s="83"/>
      <c r="H222" s="82"/>
      <c r="I222" s="82"/>
      <c r="J222" s="84"/>
      <c r="K222" s="194"/>
      <c r="L222" s="84"/>
      <c r="M222" s="87"/>
      <c r="N222" s="117">
        <f t="shared" si="9"/>
      </c>
      <c r="O222" s="66" t="str">
        <f t="shared" si="11"/>
        <v>-</v>
      </c>
      <c r="P222" s="71" t="e">
        <f>VLOOKUP($B222,#REF!,6,FALSE)</f>
        <v>#REF!</v>
      </c>
      <c r="Q222" s="66"/>
      <c r="R222" s="66">
        <f t="shared" si="10"/>
        <v>0</v>
      </c>
      <c r="S222" s="67"/>
    </row>
    <row r="223" spans="1:19" ht="27" customHeight="1">
      <c r="A223" s="190"/>
      <c r="B223" s="190"/>
      <c r="C223" s="190"/>
      <c r="D223" s="191"/>
      <c r="E223" s="191"/>
      <c r="F223" s="83"/>
      <c r="G223" s="83"/>
      <c r="H223" s="82"/>
      <c r="I223" s="82"/>
      <c r="J223" s="84"/>
      <c r="K223" s="194"/>
      <c r="L223" s="84"/>
      <c r="M223" s="87"/>
      <c r="N223" s="117">
        <f t="shared" si="9"/>
      </c>
      <c r="O223" s="66" t="str">
        <f t="shared" si="11"/>
        <v>-</v>
      </c>
      <c r="P223" s="71" t="e">
        <f>VLOOKUP($B223,#REF!,6,FALSE)</f>
        <v>#REF!</v>
      </c>
      <c r="Q223" s="66"/>
      <c r="R223" s="66">
        <f t="shared" si="10"/>
        <v>0</v>
      </c>
      <c r="S223" s="67"/>
    </row>
    <row r="224" spans="1:19" ht="27" customHeight="1">
      <c r="A224" s="190"/>
      <c r="B224" s="190"/>
      <c r="C224" s="190"/>
      <c r="D224" s="191"/>
      <c r="E224" s="191"/>
      <c r="F224" s="83"/>
      <c r="G224" s="83"/>
      <c r="H224" s="82"/>
      <c r="I224" s="157"/>
      <c r="J224" s="84"/>
      <c r="K224" s="194"/>
      <c r="L224" s="84"/>
      <c r="M224" s="87"/>
      <c r="N224" s="117">
        <f t="shared" si="9"/>
      </c>
      <c r="O224" s="66" t="str">
        <f t="shared" si="11"/>
        <v>-</v>
      </c>
      <c r="P224" s="71" t="e">
        <f>VLOOKUP($B224,#REF!,6,FALSE)</f>
        <v>#REF!</v>
      </c>
      <c r="Q224" s="66"/>
      <c r="R224" s="66">
        <f t="shared" si="10"/>
        <v>0</v>
      </c>
      <c r="S224" s="67"/>
    </row>
    <row r="225" spans="1:19" ht="27" customHeight="1">
      <c r="A225" s="190"/>
      <c r="B225" s="190"/>
      <c r="C225" s="190"/>
      <c r="D225" s="191"/>
      <c r="E225" s="191"/>
      <c r="F225" s="83"/>
      <c r="G225" s="83"/>
      <c r="H225" s="82"/>
      <c r="I225" s="82"/>
      <c r="J225" s="84"/>
      <c r="K225" s="84"/>
      <c r="L225" s="84"/>
      <c r="M225" s="87"/>
      <c r="N225" s="117">
        <f t="shared" si="9"/>
      </c>
      <c r="O225" s="66" t="str">
        <f t="shared" si="11"/>
        <v>-</v>
      </c>
      <c r="P225" s="71" t="e">
        <f>VLOOKUP($B225,#REF!,6,FALSE)</f>
        <v>#REF!</v>
      </c>
      <c r="Q225" s="66"/>
      <c r="R225" s="66">
        <f t="shared" si="10"/>
        <v>0</v>
      </c>
      <c r="S225" s="67"/>
    </row>
    <row r="226" spans="1:19" ht="27" customHeight="1">
      <c r="A226" s="190"/>
      <c r="B226" s="190"/>
      <c r="C226" s="190"/>
      <c r="D226" s="191"/>
      <c r="E226" s="191"/>
      <c r="F226" s="83"/>
      <c r="G226" s="83"/>
      <c r="H226" s="82"/>
      <c r="I226" s="82"/>
      <c r="J226" s="84"/>
      <c r="K226" s="194"/>
      <c r="L226" s="84"/>
      <c r="M226" s="87"/>
      <c r="N226" s="117">
        <f t="shared" si="9"/>
      </c>
      <c r="O226" s="66" t="str">
        <f t="shared" si="11"/>
        <v>-</v>
      </c>
      <c r="P226" s="71"/>
      <c r="Q226" s="66"/>
      <c r="R226" s="66"/>
      <c r="S226" s="67"/>
    </row>
    <row r="227" spans="1:19" ht="27" customHeight="1">
      <c r="A227" s="190"/>
      <c r="B227" s="190"/>
      <c r="C227" s="190"/>
      <c r="D227" s="191"/>
      <c r="E227" s="191"/>
      <c r="F227" s="83"/>
      <c r="G227" s="83"/>
      <c r="H227" s="82"/>
      <c r="I227" s="157"/>
      <c r="J227" s="84"/>
      <c r="K227" s="194"/>
      <c r="L227" s="198"/>
      <c r="M227" s="87"/>
      <c r="N227" s="117">
        <f t="shared" si="9"/>
      </c>
      <c r="O227" s="66" t="str">
        <f t="shared" si="11"/>
        <v>-</v>
      </c>
      <c r="P227" s="71" t="e">
        <f>VLOOKUP($B227,#REF!,6,FALSE)</f>
        <v>#REF!</v>
      </c>
      <c r="Q227" s="66"/>
      <c r="R227" s="66">
        <f t="shared" si="10"/>
        <v>0</v>
      </c>
      <c r="S227" s="67"/>
    </row>
    <row r="228" spans="1:19" ht="27" customHeight="1">
      <c r="A228" s="190"/>
      <c r="B228" s="190"/>
      <c r="C228" s="190"/>
      <c r="D228" s="191"/>
      <c r="E228" s="191"/>
      <c r="F228" s="83"/>
      <c r="G228" s="83"/>
      <c r="H228" s="82"/>
      <c r="I228" s="82"/>
      <c r="J228" s="84"/>
      <c r="K228" s="194"/>
      <c r="L228" s="198"/>
      <c r="M228" s="87"/>
      <c r="N228" s="117">
        <f t="shared" si="9"/>
      </c>
      <c r="O228" s="66" t="str">
        <f t="shared" si="11"/>
        <v>-</v>
      </c>
      <c r="P228" s="71" t="e">
        <f>VLOOKUP($B228,#REF!,6,FALSE)</f>
        <v>#REF!</v>
      </c>
      <c r="Q228" s="66"/>
      <c r="R228" s="66">
        <f t="shared" si="10"/>
        <v>0</v>
      </c>
      <c r="S228" s="67"/>
    </row>
    <row r="229" spans="1:19" ht="27" customHeight="1">
      <c r="A229" s="190"/>
      <c r="B229" s="190"/>
      <c r="C229" s="190"/>
      <c r="D229" s="191"/>
      <c r="E229" s="191"/>
      <c r="F229" s="83"/>
      <c r="G229" s="83"/>
      <c r="H229" s="82"/>
      <c r="I229" s="156"/>
      <c r="J229" s="84"/>
      <c r="K229" s="194"/>
      <c r="L229" s="198"/>
      <c r="M229" s="87"/>
      <c r="N229" s="117">
        <f t="shared" si="9"/>
      </c>
      <c r="O229" s="66" t="str">
        <f t="shared" si="11"/>
        <v>-</v>
      </c>
      <c r="P229" s="71" t="e">
        <f>VLOOKUP($B229,#REF!,6,FALSE)</f>
        <v>#REF!</v>
      </c>
      <c r="Q229" s="66"/>
      <c r="R229" s="66">
        <f t="shared" si="10"/>
        <v>0</v>
      </c>
      <c r="S229" s="67"/>
    </row>
    <row r="230" spans="1:19" ht="27" customHeight="1">
      <c r="A230" s="190"/>
      <c r="B230" s="190"/>
      <c r="C230" s="190"/>
      <c r="D230" s="191"/>
      <c r="E230" s="191"/>
      <c r="F230" s="83"/>
      <c r="G230" s="83"/>
      <c r="H230" s="82"/>
      <c r="I230" s="82"/>
      <c r="J230" s="84"/>
      <c r="K230" s="194"/>
      <c r="L230" s="84"/>
      <c r="M230" s="87"/>
      <c r="N230" s="117">
        <f t="shared" si="9"/>
      </c>
      <c r="O230" s="66" t="str">
        <f t="shared" si="11"/>
        <v>-</v>
      </c>
      <c r="P230" s="71" t="e">
        <f>VLOOKUP($B230,#REF!,6,FALSE)</f>
        <v>#REF!</v>
      </c>
      <c r="Q230" s="66"/>
      <c r="R230" s="66">
        <f t="shared" si="10"/>
        <v>0</v>
      </c>
      <c r="S230" s="67"/>
    </row>
    <row r="231" spans="1:19" ht="27" customHeight="1">
      <c r="A231" s="190"/>
      <c r="B231" s="190"/>
      <c r="C231" s="190"/>
      <c r="D231" s="191"/>
      <c r="E231" s="191"/>
      <c r="F231" s="83"/>
      <c r="G231" s="83"/>
      <c r="H231" s="82"/>
      <c r="I231" s="157"/>
      <c r="J231" s="84"/>
      <c r="K231" s="194"/>
      <c r="L231" s="84"/>
      <c r="M231" s="87"/>
      <c r="N231" s="117">
        <f t="shared" si="9"/>
      </c>
      <c r="O231" s="66" t="str">
        <f t="shared" si="11"/>
        <v>-</v>
      </c>
      <c r="P231" s="71" t="e">
        <f>VLOOKUP($B231,#REF!,6,FALSE)</f>
        <v>#REF!</v>
      </c>
      <c r="Q231" s="66"/>
      <c r="R231" s="66">
        <f t="shared" si="10"/>
        <v>0</v>
      </c>
      <c r="S231" s="67"/>
    </row>
    <row r="232" spans="1:19" ht="27" customHeight="1">
      <c r="A232" s="190"/>
      <c r="B232" s="190"/>
      <c r="C232" s="190"/>
      <c r="D232" s="191"/>
      <c r="E232" s="191"/>
      <c r="F232" s="83"/>
      <c r="G232" s="83"/>
      <c r="H232" s="82"/>
      <c r="I232" s="82"/>
      <c r="J232" s="84"/>
      <c r="K232" s="194"/>
      <c r="L232" s="84"/>
      <c r="M232" s="87"/>
      <c r="N232" s="117">
        <f t="shared" si="9"/>
      </c>
      <c r="O232" s="66" t="str">
        <f t="shared" si="11"/>
        <v>-</v>
      </c>
      <c r="P232" s="71" t="e">
        <f>VLOOKUP($B232,#REF!,6,FALSE)</f>
        <v>#REF!</v>
      </c>
      <c r="Q232" s="66"/>
      <c r="R232" s="66">
        <f t="shared" si="10"/>
        <v>0</v>
      </c>
      <c r="S232" s="67"/>
    </row>
    <row r="233" spans="1:19" ht="27" customHeight="1">
      <c r="A233" s="190"/>
      <c r="B233" s="190"/>
      <c r="C233" s="190"/>
      <c r="D233" s="191"/>
      <c r="E233" s="191"/>
      <c r="F233" s="83"/>
      <c r="G233" s="83"/>
      <c r="H233" s="82"/>
      <c r="I233" s="82"/>
      <c r="J233" s="84"/>
      <c r="K233" s="194"/>
      <c r="L233" s="84"/>
      <c r="M233" s="87"/>
      <c r="N233" s="117">
        <f t="shared" si="9"/>
      </c>
      <c r="O233" s="66" t="str">
        <f t="shared" si="11"/>
        <v>-</v>
      </c>
      <c r="P233" s="71" t="e">
        <f>VLOOKUP($B233,#REF!,6,FALSE)</f>
        <v>#REF!</v>
      </c>
      <c r="Q233" s="66"/>
      <c r="R233" s="66">
        <f t="shared" si="10"/>
        <v>0</v>
      </c>
      <c r="S233" s="67"/>
    </row>
    <row r="234" spans="1:19" ht="27" customHeight="1">
      <c r="A234" s="190"/>
      <c r="B234" s="190"/>
      <c r="C234" s="190"/>
      <c r="D234" s="191"/>
      <c r="E234" s="191"/>
      <c r="F234" s="152"/>
      <c r="G234" s="152"/>
      <c r="H234" s="82"/>
      <c r="I234" s="82"/>
      <c r="J234" s="155"/>
      <c r="K234" s="196"/>
      <c r="L234" s="155"/>
      <c r="M234" s="87"/>
      <c r="N234" s="117">
        <f t="shared" si="9"/>
      </c>
      <c r="O234" s="66" t="str">
        <f t="shared" si="11"/>
        <v>-</v>
      </c>
      <c r="P234" s="71" t="e">
        <f>VLOOKUP($B234,#REF!,6,FALSE)</f>
        <v>#REF!</v>
      </c>
      <c r="Q234" s="66"/>
      <c r="R234" s="66">
        <f t="shared" si="10"/>
        <v>0</v>
      </c>
      <c r="S234" s="67"/>
    </row>
    <row r="235" spans="1:19" ht="27" customHeight="1">
      <c r="A235" s="190"/>
      <c r="B235" s="190"/>
      <c r="C235" s="190"/>
      <c r="D235" s="191"/>
      <c r="E235" s="191"/>
      <c r="F235" s="152"/>
      <c r="G235" s="152"/>
      <c r="H235" s="82"/>
      <c r="I235" s="82"/>
      <c r="J235" s="155"/>
      <c r="K235" s="196"/>
      <c r="L235" s="155"/>
      <c r="M235" s="87"/>
      <c r="N235" s="117">
        <f t="shared" si="9"/>
      </c>
      <c r="O235" s="66" t="str">
        <f t="shared" si="11"/>
        <v>-</v>
      </c>
      <c r="P235" s="71" t="e">
        <f>VLOOKUP($B235,#REF!,6,FALSE)</f>
        <v>#REF!</v>
      </c>
      <c r="Q235" s="66"/>
      <c r="R235" s="66">
        <f t="shared" si="10"/>
        <v>0</v>
      </c>
      <c r="S235" s="67"/>
    </row>
    <row r="236" spans="1:18" s="96" customFormat="1" ht="27" customHeight="1">
      <c r="A236" s="216" t="s">
        <v>273</v>
      </c>
      <c r="B236" s="216"/>
      <c r="C236" s="216"/>
      <c r="D236" s="112"/>
      <c r="E236" s="113">
        <f>SUM(E216:E235)</f>
        <v>1190</v>
      </c>
      <c r="F236" s="114"/>
      <c r="G236" s="114"/>
      <c r="H236" s="112"/>
      <c r="I236" s="112"/>
      <c r="J236" s="115"/>
      <c r="K236" s="115"/>
      <c r="L236" s="115"/>
      <c r="M236" s="116"/>
      <c r="N236" s="117">
        <f t="shared" si="9"/>
      </c>
      <c r="O236" s="118"/>
      <c r="P236" s="119"/>
      <c r="Q236" s="118"/>
      <c r="R236" s="118"/>
    </row>
    <row r="237" spans="1:19" ht="27" customHeight="1">
      <c r="A237" s="190"/>
      <c r="B237" s="190"/>
      <c r="C237" s="190"/>
      <c r="D237" s="191"/>
      <c r="E237" s="191"/>
      <c r="F237" s="152"/>
      <c r="G237" s="152"/>
      <c r="H237" s="82"/>
      <c r="I237" s="82"/>
      <c r="J237" s="155"/>
      <c r="K237" s="196"/>
      <c r="L237" s="155"/>
      <c r="M237" s="87"/>
      <c r="N237" s="117">
        <f t="shared" si="9"/>
      </c>
      <c r="O237" s="66" t="str">
        <f t="shared" si="11"/>
        <v>-</v>
      </c>
      <c r="P237" s="71" t="e">
        <f>VLOOKUP($B237,#REF!,6,FALSE)</f>
        <v>#REF!</v>
      </c>
      <c r="Q237" s="66"/>
      <c r="R237" s="66">
        <f t="shared" si="10"/>
        <v>0</v>
      </c>
      <c r="S237" s="67"/>
    </row>
    <row r="238" spans="1:19" ht="27" customHeight="1">
      <c r="A238" s="190"/>
      <c r="B238" s="190"/>
      <c r="C238" s="190"/>
      <c r="D238" s="191"/>
      <c r="E238" s="191"/>
      <c r="F238" s="152"/>
      <c r="G238" s="152"/>
      <c r="H238" s="82"/>
      <c r="I238" s="82"/>
      <c r="J238" s="155"/>
      <c r="K238" s="196"/>
      <c r="L238" s="155"/>
      <c r="M238" s="87"/>
      <c r="N238" s="117">
        <f t="shared" si="9"/>
      </c>
      <c r="O238" s="66" t="str">
        <f t="shared" si="11"/>
        <v>-</v>
      </c>
      <c r="P238" s="71" t="e">
        <f>VLOOKUP($B238,#REF!,6,FALSE)</f>
        <v>#REF!</v>
      </c>
      <c r="Q238" s="66"/>
      <c r="R238" s="66">
        <f t="shared" si="10"/>
        <v>0</v>
      </c>
      <c r="S238" s="67"/>
    </row>
    <row r="239" spans="1:15" ht="27" customHeight="1">
      <c r="A239" s="190"/>
      <c r="B239" s="190"/>
      <c r="C239" s="190"/>
      <c r="D239" s="191"/>
      <c r="E239" s="191"/>
      <c r="F239" s="152"/>
      <c r="G239" s="152"/>
      <c r="H239" s="154"/>
      <c r="I239" s="195"/>
      <c r="J239" s="155"/>
      <c r="K239" s="196"/>
      <c r="L239" s="155"/>
      <c r="M239" s="87"/>
      <c r="N239" s="117">
        <f t="shared" si="9"/>
      </c>
      <c r="O239" s="66" t="str">
        <f t="shared" si="11"/>
        <v>-</v>
      </c>
    </row>
    <row r="240" spans="1:15" ht="27" customHeight="1">
      <c r="A240" s="190"/>
      <c r="B240" s="190"/>
      <c r="C240" s="190"/>
      <c r="D240" s="191"/>
      <c r="E240" s="191"/>
      <c r="F240" s="152"/>
      <c r="G240" s="152"/>
      <c r="H240" s="195"/>
      <c r="I240" s="195"/>
      <c r="J240" s="155"/>
      <c r="K240" s="196"/>
      <c r="L240" s="155"/>
      <c r="M240" s="87"/>
      <c r="N240" s="117">
        <f t="shared" si="9"/>
      </c>
      <c r="O240" s="66" t="str">
        <f t="shared" si="11"/>
        <v>-</v>
      </c>
    </row>
    <row r="241" spans="1:15" ht="27" customHeight="1">
      <c r="A241" s="190"/>
      <c r="B241" s="190"/>
      <c r="C241" s="190"/>
      <c r="D241" s="191"/>
      <c r="E241" s="191"/>
      <c r="F241" s="152"/>
      <c r="G241" s="152"/>
      <c r="H241" s="195"/>
      <c r="I241" s="195"/>
      <c r="J241" s="155"/>
      <c r="K241" s="196"/>
      <c r="L241" s="155"/>
      <c r="M241" s="87"/>
      <c r="N241" s="117">
        <f t="shared" si="9"/>
      </c>
      <c r="O241" s="66" t="str">
        <f t="shared" si="11"/>
        <v>-</v>
      </c>
    </row>
    <row r="242" spans="1:15" ht="27" customHeight="1">
      <c r="A242" s="190"/>
      <c r="B242" s="190"/>
      <c r="C242" s="190"/>
      <c r="D242" s="191"/>
      <c r="E242" s="191"/>
      <c r="F242" s="152"/>
      <c r="G242" s="152"/>
      <c r="H242" s="195"/>
      <c r="I242" s="195"/>
      <c r="J242" s="155"/>
      <c r="K242" s="196"/>
      <c r="L242" s="155"/>
      <c r="M242" s="87"/>
      <c r="N242" s="117">
        <f t="shared" si="9"/>
      </c>
      <c r="O242" s="66" t="str">
        <f t="shared" si="11"/>
        <v>-</v>
      </c>
    </row>
    <row r="243" spans="1:15" ht="27" customHeight="1">
      <c r="A243" s="190"/>
      <c r="B243" s="190"/>
      <c r="C243" s="190"/>
      <c r="D243" s="191"/>
      <c r="E243" s="191"/>
      <c r="F243" s="152"/>
      <c r="G243" s="152"/>
      <c r="H243" s="195"/>
      <c r="I243" s="197"/>
      <c r="J243" s="155"/>
      <c r="K243" s="196"/>
      <c r="L243" s="155"/>
      <c r="M243" s="87"/>
      <c r="N243" s="117">
        <f t="shared" si="9"/>
      </c>
      <c r="O243" s="66" t="str">
        <f t="shared" si="11"/>
        <v>-</v>
      </c>
    </row>
    <row r="244" spans="1:15" ht="27" customHeight="1">
      <c r="A244" s="190"/>
      <c r="B244" s="190"/>
      <c r="C244" s="190"/>
      <c r="D244" s="191"/>
      <c r="E244" s="191"/>
      <c r="F244" s="152"/>
      <c r="G244" s="152"/>
      <c r="H244" s="195"/>
      <c r="I244" s="195"/>
      <c r="J244" s="155"/>
      <c r="K244" s="196"/>
      <c r="L244" s="155"/>
      <c r="M244" s="87"/>
      <c r="N244" s="117">
        <f t="shared" si="9"/>
      </c>
      <c r="O244" s="66" t="str">
        <f t="shared" si="11"/>
        <v>-</v>
      </c>
    </row>
    <row r="245" spans="1:15" ht="27" customHeight="1">
      <c r="A245" s="190"/>
      <c r="B245" s="190"/>
      <c r="C245" s="190"/>
      <c r="D245" s="191"/>
      <c r="E245" s="191"/>
      <c r="F245" s="152"/>
      <c r="G245" s="152"/>
      <c r="H245" s="195"/>
      <c r="I245" s="195"/>
      <c r="J245" s="155"/>
      <c r="K245" s="196"/>
      <c r="L245" s="155"/>
      <c r="M245" s="87"/>
      <c r="N245" s="117">
        <f t="shared" si="9"/>
      </c>
      <c r="O245" s="66" t="str">
        <f t="shared" si="11"/>
        <v>-</v>
      </c>
    </row>
    <row r="246" spans="1:15" ht="27" customHeight="1">
      <c r="A246" s="190"/>
      <c r="B246" s="190"/>
      <c r="C246" s="190"/>
      <c r="D246" s="191"/>
      <c r="E246" s="191"/>
      <c r="F246" s="152"/>
      <c r="G246" s="152"/>
      <c r="H246" s="195"/>
      <c r="I246" s="195"/>
      <c r="J246" s="155"/>
      <c r="K246" s="196"/>
      <c r="L246" s="155"/>
      <c r="M246" s="87"/>
      <c r="N246" s="117">
        <f t="shared" si="9"/>
      </c>
      <c r="O246" s="66" t="str">
        <f t="shared" si="11"/>
        <v>-</v>
      </c>
    </row>
    <row r="247" spans="1:15" ht="27" customHeight="1">
      <c r="A247" s="190"/>
      <c r="B247" s="190"/>
      <c r="C247" s="190"/>
      <c r="D247" s="191"/>
      <c r="E247" s="191"/>
      <c r="F247" s="152"/>
      <c r="G247" s="152"/>
      <c r="H247" s="195"/>
      <c r="I247" s="197"/>
      <c r="J247" s="155"/>
      <c r="K247" s="196"/>
      <c r="L247" s="155"/>
      <c r="M247" s="87"/>
      <c r="N247" s="117">
        <f t="shared" si="9"/>
      </c>
      <c r="O247" s="66" t="str">
        <f t="shared" si="11"/>
        <v>-</v>
      </c>
    </row>
    <row r="248" spans="1:15" ht="27" customHeight="1">
      <c r="A248" s="80"/>
      <c r="B248" s="153"/>
      <c r="C248" s="152"/>
      <c r="D248" s="152"/>
      <c r="E248" s="154"/>
      <c r="F248" s="152"/>
      <c r="G248" s="152"/>
      <c r="H248" s="195"/>
      <c r="I248" s="155"/>
      <c r="J248" s="155"/>
      <c r="K248" s="155"/>
      <c r="L248" s="155"/>
      <c r="M248" s="152"/>
      <c r="N248" s="117">
        <f t="shared" si="9"/>
      </c>
      <c r="O248" s="66" t="str">
        <f t="shared" si="11"/>
        <v>-</v>
      </c>
    </row>
    <row r="249" spans="1:15" ht="27" customHeight="1">
      <c r="A249" s="80"/>
      <c r="B249" s="153"/>
      <c r="C249" s="152"/>
      <c r="D249" s="152"/>
      <c r="E249" s="154"/>
      <c r="F249" s="152"/>
      <c r="G249" s="152"/>
      <c r="H249" s="155"/>
      <c r="I249" s="155"/>
      <c r="J249" s="155"/>
      <c r="K249" s="155"/>
      <c r="L249" s="155"/>
      <c r="M249" s="152"/>
      <c r="N249" s="117">
        <f t="shared" si="9"/>
      </c>
      <c r="O249" s="66" t="str">
        <f t="shared" si="11"/>
        <v>-</v>
      </c>
    </row>
    <row r="250" spans="1:15" ht="27" customHeight="1">
      <c r="A250" s="80"/>
      <c r="B250" s="153"/>
      <c r="C250" s="152"/>
      <c r="D250" s="152"/>
      <c r="E250" s="154"/>
      <c r="F250" s="152"/>
      <c r="G250" s="152"/>
      <c r="H250" s="155"/>
      <c r="I250" s="155"/>
      <c r="J250" s="155"/>
      <c r="K250" s="155"/>
      <c r="L250" s="155"/>
      <c r="M250" s="152"/>
      <c r="N250" s="117">
        <f t="shared" si="9"/>
      </c>
      <c r="O250" s="66" t="str">
        <f t="shared" si="11"/>
        <v>-</v>
      </c>
    </row>
    <row r="251" spans="1:15" ht="27" customHeight="1">
      <c r="A251" s="80"/>
      <c r="B251" s="153"/>
      <c r="C251" s="152"/>
      <c r="D251" s="152"/>
      <c r="E251" s="154"/>
      <c r="F251" s="152"/>
      <c r="G251" s="152"/>
      <c r="H251" s="155"/>
      <c r="I251" s="155"/>
      <c r="J251" s="155"/>
      <c r="K251" s="155"/>
      <c r="L251" s="155"/>
      <c r="M251" s="152"/>
      <c r="N251" s="117">
        <f t="shared" si="9"/>
      </c>
      <c r="O251" s="66" t="str">
        <f t="shared" si="11"/>
        <v>-</v>
      </c>
    </row>
    <row r="252" spans="1:15" ht="27" customHeight="1">
      <c r="A252" s="80"/>
      <c r="B252" s="153"/>
      <c r="C252" s="152"/>
      <c r="D252" s="152"/>
      <c r="E252" s="154"/>
      <c r="F252" s="152"/>
      <c r="G252" s="152"/>
      <c r="H252" s="155"/>
      <c r="I252" s="155"/>
      <c r="J252" s="155"/>
      <c r="K252" s="155"/>
      <c r="L252" s="155"/>
      <c r="M252" s="152"/>
      <c r="N252" s="117">
        <f t="shared" si="9"/>
      </c>
      <c r="O252" s="66" t="str">
        <f t="shared" si="11"/>
        <v>-</v>
      </c>
    </row>
    <row r="253" spans="1:15" ht="27" customHeight="1">
      <c r="A253" s="80"/>
      <c r="B253" s="153"/>
      <c r="C253" s="152"/>
      <c r="D253" s="152"/>
      <c r="E253" s="154"/>
      <c r="F253" s="152"/>
      <c r="G253" s="152"/>
      <c r="H253" s="155"/>
      <c r="I253" s="155"/>
      <c r="J253" s="155"/>
      <c r="K253" s="155"/>
      <c r="L253" s="155"/>
      <c r="M253" s="152"/>
      <c r="N253" s="117">
        <f t="shared" si="9"/>
      </c>
      <c r="O253" s="66" t="str">
        <f t="shared" si="11"/>
        <v>-</v>
      </c>
    </row>
    <row r="254" spans="1:15" ht="27" customHeight="1">
      <c r="A254" s="80"/>
      <c r="B254" s="153"/>
      <c r="C254" s="152"/>
      <c r="D254" s="152"/>
      <c r="E254" s="154"/>
      <c r="F254" s="152"/>
      <c r="G254" s="152"/>
      <c r="H254" s="155"/>
      <c r="I254" s="155"/>
      <c r="J254" s="155"/>
      <c r="K254" s="155"/>
      <c r="L254" s="155"/>
      <c r="M254" s="152"/>
      <c r="N254" s="117">
        <f t="shared" si="9"/>
      </c>
      <c r="O254" s="66" t="str">
        <f t="shared" si="11"/>
        <v>-</v>
      </c>
    </row>
    <row r="255" spans="1:15" ht="27" customHeight="1">
      <c r="A255" s="80"/>
      <c r="B255" s="153"/>
      <c r="C255" s="152"/>
      <c r="D255" s="152"/>
      <c r="E255" s="154"/>
      <c r="F255" s="152"/>
      <c r="G255" s="152"/>
      <c r="H255" s="155"/>
      <c r="I255" s="155"/>
      <c r="J255" s="155"/>
      <c r="K255" s="155"/>
      <c r="L255" s="155"/>
      <c r="M255" s="152"/>
      <c r="N255" s="117">
        <f t="shared" si="9"/>
      </c>
      <c r="O255" s="66" t="str">
        <f t="shared" si="11"/>
        <v>-</v>
      </c>
    </row>
    <row r="256" spans="1:18" s="96" customFormat="1" ht="27" customHeight="1" thickBot="1">
      <c r="A256" s="80"/>
      <c r="B256" s="153"/>
      <c r="C256" s="152"/>
      <c r="D256" s="152"/>
      <c r="E256" s="154"/>
      <c r="F256" s="152"/>
      <c r="G256" s="152"/>
      <c r="H256" s="155"/>
      <c r="I256" s="155"/>
      <c r="J256" s="155"/>
      <c r="K256" s="155"/>
      <c r="L256" s="155"/>
      <c r="M256" s="152"/>
      <c r="N256" s="117"/>
      <c r="O256" s="66" t="str">
        <f t="shared" si="11"/>
        <v>-</v>
      </c>
      <c r="P256" s="119"/>
      <c r="Q256" s="118"/>
      <c r="R256" s="118"/>
    </row>
    <row r="257" spans="1:18" s="96" customFormat="1" ht="27" customHeight="1" thickTop="1">
      <c r="A257" s="209" t="s">
        <v>61</v>
      </c>
      <c r="B257" s="210"/>
      <c r="C257" s="211"/>
      <c r="D257" s="138"/>
      <c r="E257" s="139">
        <f>SUM(E237:E256)</f>
        <v>0</v>
      </c>
      <c r="F257" s="140"/>
      <c r="G257" s="140"/>
      <c r="H257" s="138"/>
      <c r="I257" s="138"/>
      <c r="J257" s="141"/>
      <c r="K257" s="141"/>
      <c r="L257" s="141"/>
      <c r="M257" s="142"/>
      <c r="N257" s="117">
        <f>CONCATENATE(C257,H257)</f>
      </c>
      <c r="O257" s="118"/>
      <c r="P257" s="119"/>
      <c r="Q257" s="118"/>
      <c r="R257" s="118"/>
    </row>
  </sheetData>
  <sheetProtection/>
  <mergeCells count="18">
    <mergeCell ref="A257:C257"/>
    <mergeCell ref="A173:C173"/>
    <mergeCell ref="A194:C194"/>
    <mergeCell ref="A215:C215"/>
    <mergeCell ref="A236:C236"/>
    <mergeCell ref="A152:C152"/>
    <mergeCell ref="A26:C26"/>
    <mergeCell ref="A47:C47"/>
    <mergeCell ref="A68:C68"/>
    <mergeCell ref="A89:C89"/>
    <mergeCell ref="A110:C110"/>
    <mergeCell ref="A131:C131"/>
    <mergeCell ref="A1:M1"/>
    <mergeCell ref="K2:M2"/>
    <mergeCell ref="B4:B5"/>
    <mergeCell ref="C4:C5"/>
    <mergeCell ref="H4:I4"/>
    <mergeCell ref="M4:M5"/>
  </mergeCells>
  <printOptions horizontalCentered="1" verticalCentered="1"/>
  <pageMargins left="0.1968503937007874" right="0.1968503937007874" top="1.23" bottom="0.69" header="0.5905511811023623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9"/>
  <sheetViews>
    <sheetView showGridLines="0" showZeros="0" view="pageBreakPreview" zoomScaleSheetLayoutView="100" zoomScalePageLayoutView="0" workbookViewId="0" topLeftCell="A1">
      <selection activeCell="A1" sqref="A1:M1"/>
    </sheetView>
  </sheetViews>
  <sheetFormatPr defaultColWidth="8.88671875" defaultRowHeight="13.5"/>
  <cols>
    <col min="1" max="1" width="3.88671875" style="53" customWidth="1"/>
    <col min="2" max="2" width="7.77734375" style="69" customWidth="1"/>
    <col min="3" max="3" width="3.88671875" style="53" customWidth="1"/>
    <col min="4" max="4" width="6.99609375" style="53" customWidth="1"/>
    <col min="5" max="5" width="6.77734375" style="78" customWidth="1"/>
    <col min="6" max="7" width="4.77734375" style="53" customWidth="1"/>
    <col min="8" max="8" width="6.3359375" style="53" customWidth="1"/>
    <col min="9" max="9" width="11.6640625" style="53" customWidth="1"/>
    <col min="10" max="10" width="6.99609375" style="53" customWidth="1"/>
    <col min="11" max="11" width="10.77734375" style="53" customWidth="1"/>
    <col min="12" max="12" width="6.77734375" style="53" customWidth="1"/>
    <col min="13" max="13" width="4.77734375" style="53" customWidth="1"/>
    <col min="14" max="14" width="17.21484375" style="70" hidden="1" customWidth="1"/>
    <col min="15" max="15" width="8.21484375" style="53" hidden="1" customWidth="1"/>
    <col min="16" max="16" width="9.77734375" style="53" hidden="1" customWidth="1"/>
    <col min="17" max="17" width="6.10546875" style="53" hidden="1" customWidth="1"/>
    <col min="18" max="18" width="9.77734375" style="53" hidden="1" customWidth="1"/>
    <col min="19" max="19" width="9.77734375" style="53" customWidth="1"/>
    <col min="20" max="20" width="10.77734375" style="53" customWidth="1"/>
    <col min="21" max="16384" width="8.88671875" style="53" customWidth="1"/>
  </cols>
  <sheetData>
    <row r="1" spans="1:20" ht="30" customHeight="1">
      <c r="A1" s="217" t="s">
        <v>60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51"/>
      <c r="O1" s="52"/>
      <c r="P1" s="52"/>
      <c r="Q1" s="52"/>
      <c r="R1" s="52"/>
      <c r="S1" s="52"/>
      <c r="T1" s="52"/>
    </row>
    <row r="2" spans="1:20" ht="19.5" customHeight="1">
      <c r="A2" s="54"/>
      <c r="B2" s="55"/>
      <c r="C2" s="54"/>
      <c r="D2" s="54"/>
      <c r="E2" s="77"/>
      <c r="F2" s="54"/>
      <c r="G2" s="54"/>
      <c r="H2" s="54"/>
      <c r="I2" s="54"/>
      <c r="J2" s="56"/>
      <c r="K2" s="218" t="s">
        <v>78</v>
      </c>
      <c r="L2" s="218"/>
      <c r="M2" s="218"/>
      <c r="N2" s="57"/>
      <c r="O2" s="52"/>
      <c r="P2" s="52"/>
      <c r="Q2" s="52"/>
      <c r="R2" s="52"/>
      <c r="S2" s="52"/>
      <c r="T2" s="52"/>
    </row>
    <row r="3" spans="1:20" ht="9.75" customHeight="1">
      <c r="A3" s="54"/>
      <c r="B3" s="55"/>
      <c r="C3" s="54"/>
      <c r="D3" s="54"/>
      <c r="E3" s="77"/>
      <c r="F3" s="54"/>
      <c r="G3" s="54"/>
      <c r="H3" s="54"/>
      <c r="I3" s="54"/>
      <c r="J3" s="54"/>
      <c r="K3" s="54"/>
      <c r="L3" s="54"/>
      <c r="M3" s="54"/>
      <c r="N3" s="54"/>
      <c r="O3" s="52"/>
      <c r="P3" s="52"/>
      <c r="Q3" s="52"/>
      <c r="R3" s="52"/>
      <c r="S3" s="52"/>
      <c r="T3" s="52"/>
    </row>
    <row r="4" spans="1:20" s="60" customFormat="1" ht="27" customHeight="1">
      <c r="A4" s="143" t="s">
        <v>24</v>
      </c>
      <c r="B4" s="213" t="s">
        <v>25</v>
      </c>
      <c r="C4" s="214" t="s">
        <v>26</v>
      </c>
      <c r="D4" s="145" t="s">
        <v>27</v>
      </c>
      <c r="E4" s="146" t="s">
        <v>28</v>
      </c>
      <c r="F4" s="102" t="s">
        <v>29</v>
      </c>
      <c r="G4" s="102"/>
      <c r="H4" s="214" t="s">
        <v>30</v>
      </c>
      <c r="I4" s="214"/>
      <c r="J4" s="103" t="s">
        <v>31</v>
      </c>
      <c r="K4" s="102"/>
      <c r="L4" s="102"/>
      <c r="M4" s="215" t="s">
        <v>21</v>
      </c>
      <c r="N4" s="58"/>
      <c r="O4" s="59"/>
      <c r="P4" s="59"/>
      <c r="Q4" s="59"/>
      <c r="R4" s="59"/>
      <c r="S4" s="59"/>
      <c r="T4" s="59"/>
    </row>
    <row r="5" spans="1:20" s="60" customFormat="1" ht="27" customHeight="1">
      <c r="A5" s="144" t="s">
        <v>32</v>
      </c>
      <c r="B5" s="213"/>
      <c r="C5" s="214"/>
      <c r="D5" s="147" t="s">
        <v>53</v>
      </c>
      <c r="E5" s="147" t="s">
        <v>53</v>
      </c>
      <c r="F5" s="132" t="s">
        <v>26</v>
      </c>
      <c r="G5" s="133" t="s">
        <v>33</v>
      </c>
      <c r="H5" s="133" t="s">
        <v>34</v>
      </c>
      <c r="I5" s="132" t="s">
        <v>35</v>
      </c>
      <c r="J5" s="133" t="s">
        <v>34</v>
      </c>
      <c r="K5" s="133" t="s">
        <v>35</v>
      </c>
      <c r="L5" s="132" t="s">
        <v>36</v>
      </c>
      <c r="M5" s="215"/>
      <c r="N5" s="61"/>
      <c r="O5" s="62"/>
      <c r="P5" s="63" t="s">
        <v>59</v>
      </c>
      <c r="Q5" s="63"/>
      <c r="R5" s="63"/>
      <c r="S5" s="63"/>
      <c r="T5" s="64"/>
    </row>
    <row r="6" spans="1:20" ht="27" customHeight="1">
      <c r="A6" s="190">
        <v>1</v>
      </c>
      <c r="B6" s="190" t="s">
        <v>275</v>
      </c>
      <c r="C6" s="190" t="s">
        <v>7</v>
      </c>
      <c r="D6" s="191">
        <v>1441</v>
      </c>
      <c r="E6" s="191">
        <v>125</v>
      </c>
      <c r="F6" s="83"/>
      <c r="G6" s="83"/>
      <c r="H6" s="82" t="s">
        <v>322</v>
      </c>
      <c r="I6" s="157" t="s">
        <v>323</v>
      </c>
      <c r="J6" s="84"/>
      <c r="K6" s="194"/>
      <c r="L6" s="84"/>
      <c r="M6" s="85"/>
      <c r="N6" s="65" t="str">
        <f aca="true" t="shared" si="0" ref="N6:N69">CONCATENATE(C6,H6)</f>
        <v>답박경용</v>
      </c>
      <c r="O6" s="66" t="str">
        <f aca="true" t="shared" si="1" ref="O6:O69">IF(D6&gt;=E6,"-","ERR")</f>
        <v>-</v>
      </c>
      <c r="P6" s="71" t="e">
        <f>VLOOKUP($B6,#REF!,6,FALSE)</f>
        <v>#REF!</v>
      </c>
      <c r="Q6" s="72"/>
      <c r="R6" s="66">
        <f aca="true" t="shared" si="2" ref="R6:R12">IF(C6=Q6,0,2)</f>
        <v>2</v>
      </c>
      <c r="S6" s="66"/>
      <c r="T6" s="66"/>
    </row>
    <row r="7" spans="1:20" ht="27" customHeight="1">
      <c r="A7" s="190">
        <v>2</v>
      </c>
      <c r="B7" s="190" t="s">
        <v>276</v>
      </c>
      <c r="C7" s="190" t="s">
        <v>92</v>
      </c>
      <c r="D7" s="191">
        <v>4136</v>
      </c>
      <c r="E7" s="191">
        <v>155</v>
      </c>
      <c r="F7" s="83"/>
      <c r="G7" s="83"/>
      <c r="H7" s="82" t="s">
        <v>310</v>
      </c>
      <c r="I7" s="82" t="s">
        <v>315</v>
      </c>
      <c r="J7" s="84"/>
      <c r="K7" s="194"/>
      <c r="L7" s="84"/>
      <c r="M7" s="85"/>
      <c r="N7" s="65" t="str">
        <f t="shared" si="0"/>
        <v>도국</v>
      </c>
      <c r="O7" s="66" t="str">
        <f t="shared" si="1"/>
        <v>-</v>
      </c>
      <c r="P7" s="71" t="e">
        <f>VLOOKUP($B7,#REF!,6,FALSE)</f>
        <v>#REF!</v>
      </c>
      <c r="Q7" s="72"/>
      <c r="R7" s="66">
        <f t="shared" si="2"/>
        <v>2</v>
      </c>
      <c r="S7" s="66"/>
      <c r="T7" s="66"/>
    </row>
    <row r="8" spans="1:20" ht="27" customHeight="1">
      <c r="A8" s="190">
        <v>3</v>
      </c>
      <c r="B8" s="190" t="s">
        <v>277</v>
      </c>
      <c r="C8" s="190" t="s">
        <v>7</v>
      </c>
      <c r="D8" s="191">
        <v>1572</v>
      </c>
      <c r="E8" s="191">
        <v>133</v>
      </c>
      <c r="F8" s="83"/>
      <c r="G8" s="83"/>
      <c r="H8" s="82" t="s">
        <v>324</v>
      </c>
      <c r="I8" s="157" t="s">
        <v>325</v>
      </c>
      <c r="J8" s="84"/>
      <c r="K8" s="194"/>
      <c r="L8" s="84"/>
      <c r="M8" s="85"/>
      <c r="N8" s="65" t="str">
        <f t="shared" si="0"/>
        <v>답이정우</v>
      </c>
      <c r="O8" s="66" t="str">
        <f t="shared" si="1"/>
        <v>-</v>
      </c>
      <c r="P8" s="71" t="e">
        <f>VLOOKUP($B8,#REF!,6,FALSE)</f>
        <v>#REF!</v>
      </c>
      <c r="Q8" s="72"/>
      <c r="R8" s="66">
        <f t="shared" si="2"/>
        <v>2</v>
      </c>
      <c r="S8" s="66"/>
      <c r="T8" s="66"/>
    </row>
    <row r="9" spans="1:20" ht="27" customHeight="1">
      <c r="A9" s="190">
        <v>4</v>
      </c>
      <c r="B9" s="190" t="s">
        <v>278</v>
      </c>
      <c r="C9" s="190" t="s">
        <v>92</v>
      </c>
      <c r="D9" s="191">
        <v>7</v>
      </c>
      <c r="E9" s="191">
        <v>7</v>
      </c>
      <c r="F9" s="83"/>
      <c r="G9" s="83"/>
      <c r="H9" s="82" t="s">
        <v>326</v>
      </c>
      <c r="I9" s="82" t="s">
        <v>327</v>
      </c>
      <c r="J9" s="84"/>
      <c r="K9" s="194"/>
      <c r="L9" s="84"/>
      <c r="M9" s="85"/>
      <c r="N9" s="65" t="str">
        <f t="shared" si="0"/>
        <v>도양재현외 1인</v>
      </c>
      <c r="O9" s="66" t="str">
        <f t="shared" si="1"/>
        <v>-</v>
      </c>
      <c r="P9" s="71" t="e">
        <f>VLOOKUP($B9,#REF!,6,FALSE)</f>
        <v>#REF!</v>
      </c>
      <c r="Q9" s="72"/>
      <c r="R9" s="66">
        <f t="shared" si="2"/>
        <v>2</v>
      </c>
      <c r="S9" s="66"/>
      <c r="T9" s="66"/>
    </row>
    <row r="10" spans="1:20" ht="27" customHeight="1">
      <c r="A10" s="190">
        <v>5</v>
      </c>
      <c r="B10" s="190" t="s">
        <v>279</v>
      </c>
      <c r="C10" s="190" t="s">
        <v>92</v>
      </c>
      <c r="D10" s="191">
        <v>54</v>
      </c>
      <c r="E10" s="191">
        <v>54</v>
      </c>
      <c r="F10" s="83"/>
      <c r="G10" s="83"/>
      <c r="H10" s="82" t="s">
        <v>328</v>
      </c>
      <c r="I10" s="156" t="s">
        <v>587</v>
      </c>
      <c r="J10" s="84"/>
      <c r="K10" s="194"/>
      <c r="L10" s="84"/>
      <c r="M10" s="85"/>
      <c r="N10" s="65" t="str">
        <f t="shared" si="0"/>
        <v>도김도석</v>
      </c>
      <c r="O10" s="66" t="str">
        <f t="shared" si="1"/>
        <v>-</v>
      </c>
      <c r="P10" s="71" t="e">
        <f>VLOOKUP($B10,#REF!,6,FALSE)</f>
        <v>#REF!</v>
      </c>
      <c r="Q10" s="72"/>
      <c r="R10" s="66">
        <f t="shared" si="2"/>
        <v>2</v>
      </c>
      <c r="S10" s="66"/>
      <c r="T10" s="66"/>
    </row>
    <row r="11" spans="1:20" ht="27" customHeight="1">
      <c r="A11" s="190">
        <v>6</v>
      </c>
      <c r="B11" s="190" t="s">
        <v>280</v>
      </c>
      <c r="C11" s="190" t="s">
        <v>92</v>
      </c>
      <c r="D11" s="191">
        <v>255</v>
      </c>
      <c r="E11" s="191">
        <v>23</v>
      </c>
      <c r="F11" s="83"/>
      <c r="G11" s="83"/>
      <c r="H11" s="82" t="s">
        <v>533</v>
      </c>
      <c r="I11" s="82" t="s">
        <v>329</v>
      </c>
      <c r="J11" s="84"/>
      <c r="K11" s="194"/>
      <c r="L11" s="84"/>
      <c r="M11" s="85"/>
      <c r="N11" s="65" t="str">
        <f t="shared" si="0"/>
        <v>도공</v>
      </c>
      <c r="O11" s="66" t="str">
        <f t="shared" si="1"/>
        <v>-</v>
      </c>
      <c r="P11" s="71" t="e">
        <f>VLOOKUP($B11,#REF!,6,FALSE)</f>
        <v>#REF!</v>
      </c>
      <c r="Q11" s="72"/>
      <c r="R11" s="66">
        <f t="shared" si="2"/>
        <v>2</v>
      </c>
      <c r="S11" s="66"/>
      <c r="T11" s="66"/>
    </row>
    <row r="12" spans="1:20" ht="27" customHeight="1">
      <c r="A12" s="190">
        <v>7</v>
      </c>
      <c r="B12" s="190" t="s">
        <v>281</v>
      </c>
      <c r="C12" s="190" t="s">
        <v>92</v>
      </c>
      <c r="D12" s="191">
        <v>135</v>
      </c>
      <c r="E12" s="191">
        <v>135</v>
      </c>
      <c r="F12" s="83"/>
      <c r="G12" s="83"/>
      <c r="H12" s="82" t="s">
        <v>310</v>
      </c>
      <c r="I12" s="82" t="s">
        <v>330</v>
      </c>
      <c r="J12" s="84"/>
      <c r="K12" s="84"/>
      <c r="L12" s="84"/>
      <c r="M12" s="85"/>
      <c r="N12" s="65" t="str">
        <f t="shared" si="0"/>
        <v>도국</v>
      </c>
      <c r="O12" s="66" t="str">
        <f t="shared" si="1"/>
        <v>-</v>
      </c>
      <c r="P12" s="71"/>
      <c r="Q12" s="72"/>
      <c r="R12" s="66">
        <f t="shared" si="2"/>
        <v>2</v>
      </c>
      <c r="S12" s="66"/>
      <c r="T12" s="66"/>
    </row>
    <row r="13" spans="1:20" ht="27" customHeight="1">
      <c r="A13" s="190">
        <v>8</v>
      </c>
      <c r="B13" s="190">
        <v>1140</v>
      </c>
      <c r="C13" s="190" t="s">
        <v>92</v>
      </c>
      <c r="D13" s="191">
        <v>9489</v>
      </c>
      <c r="E13" s="191">
        <v>719</v>
      </c>
      <c r="F13" s="83"/>
      <c r="G13" s="83"/>
      <c r="H13" s="82" t="s">
        <v>310</v>
      </c>
      <c r="I13" s="82" t="s">
        <v>330</v>
      </c>
      <c r="J13" s="84"/>
      <c r="K13" s="84"/>
      <c r="L13" s="84"/>
      <c r="M13" s="85"/>
      <c r="N13" s="65" t="str">
        <f t="shared" si="0"/>
        <v>도국</v>
      </c>
      <c r="O13" s="66" t="str">
        <f t="shared" si="1"/>
        <v>-</v>
      </c>
      <c r="P13" s="71"/>
      <c r="Q13" s="72"/>
      <c r="R13" s="66"/>
      <c r="S13" s="66"/>
      <c r="T13" s="66"/>
    </row>
    <row r="14" spans="1:20" ht="27" customHeight="1">
      <c r="A14" s="190">
        <v>9</v>
      </c>
      <c r="B14" s="190" t="s">
        <v>282</v>
      </c>
      <c r="C14" s="190" t="s">
        <v>222</v>
      </c>
      <c r="D14" s="191">
        <v>4177</v>
      </c>
      <c r="E14" s="191">
        <v>1029</v>
      </c>
      <c r="F14" s="83"/>
      <c r="G14" s="83"/>
      <c r="H14" s="82" t="s">
        <v>331</v>
      </c>
      <c r="I14" s="157" t="s">
        <v>332</v>
      </c>
      <c r="J14" s="204" t="s">
        <v>540</v>
      </c>
      <c r="K14" s="206" t="s">
        <v>541</v>
      </c>
      <c r="L14" s="84" t="s">
        <v>542</v>
      </c>
      <c r="M14" s="85"/>
      <c r="N14" s="65" t="str">
        <f t="shared" si="0"/>
        <v>잡권미자</v>
      </c>
      <c r="O14" s="66" t="str">
        <f t="shared" si="1"/>
        <v>-</v>
      </c>
      <c r="P14" s="71"/>
      <c r="Q14" s="72"/>
      <c r="R14" s="66"/>
      <c r="S14" s="66"/>
      <c r="T14" s="66"/>
    </row>
    <row r="15" spans="1:20" ht="27" customHeight="1">
      <c r="A15" s="190">
        <v>10</v>
      </c>
      <c r="B15" s="190" t="s">
        <v>283</v>
      </c>
      <c r="C15" s="190" t="s">
        <v>92</v>
      </c>
      <c r="D15" s="191">
        <v>1825</v>
      </c>
      <c r="E15" s="191">
        <v>1772</v>
      </c>
      <c r="F15" s="83"/>
      <c r="G15" s="83"/>
      <c r="H15" s="82" t="s">
        <v>310</v>
      </c>
      <c r="I15" s="82" t="s">
        <v>315</v>
      </c>
      <c r="J15" s="84"/>
      <c r="K15" s="194"/>
      <c r="L15" s="84"/>
      <c r="M15" s="85"/>
      <c r="N15" s="65" t="str">
        <f t="shared" si="0"/>
        <v>도국</v>
      </c>
      <c r="O15" s="66" t="str">
        <f t="shared" si="1"/>
        <v>-</v>
      </c>
      <c r="P15" s="71"/>
      <c r="Q15" s="72"/>
      <c r="R15" s="66"/>
      <c r="S15" s="66"/>
      <c r="T15" s="66"/>
    </row>
    <row r="16" spans="1:20" ht="27" customHeight="1">
      <c r="A16" s="190">
        <v>11</v>
      </c>
      <c r="B16" s="190" t="s">
        <v>284</v>
      </c>
      <c r="C16" s="190" t="s">
        <v>92</v>
      </c>
      <c r="D16" s="191">
        <v>636</v>
      </c>
      <c r="E16" s="191">
        <v>215</v>
      </c>
      <c r="F16" s="83"/>
      <c r="G16" s="83"/>
      <c r="H16" s="82" t="s">
        <v>310</v>
      </c>
      <c r="I16" s="82" t="s">
        <v>330</v>
      </c>
      <c r="J16" s="84"/>
      <c r="K16" s="84"/>
      <c r="L16" s="84"/>
      <c r="M16" s="85"/>
      <c r="N16" s="65" t="str">
        <f t="shared" si="0"/>
        <v>도국</v>
      </c>
      <c r="O16" s="66" t="str">
        <f t="shared" si="1"/>
        <v>-</v>
      </c>
      <c r="P16" s="71"/>
      <c r="Q16" s="72"/>
      <c r="R16" s="66"/>
      <c r="S16" s="66"/>
      <c r="T16" s="66"/>
    </row>
    <row r="17" spans="1:20" ht="27" customHeight="1">
      <c r="A17" s="190">
        <v>12</v>
      </c>
      <c r="B17" s="190" t="s">
        <v>285</v>
      </c>
      <c r="C17" s="190" t="s">
        <v>92</v>
      </c>
      <c r="D17" s="191">
        <v>119</v>
      </c>
      <c r="E17" s="191">
        <v>119</v>
      </c>
      <c r="F17" s="83"/>
      <c r="G17" s="83"/>
      <c r="H17" s="82" t="s">
        <v>533</v>
      </c>
      <c r="I17" s="82" t="s">
        <v>329</v>
      </c>
      <c r="J17" s="84"/>
      <c r="K17" s="194"/>
      <c r="L17" s="84"/>
      <c r="M17" s="85"/>
      <c r="N17" s="65" t="str">
        <f t="shared" si="0"/>
        <v>도공</v>
      </c>
      <c r="O17" s="66" t="str">
        <f t="shared" si="1"/>
        <v>-</v>
      </c>
      <c r="P17" s="71"/>
      <c r="Q17" s="72"/>
      <c r="R17" s="66"/>
      <c r="S17" s="66"/>
      <c r="T17" s="66"/>
    </row>
    <row r="18" spans="1:20" ht="27" customHeight="1">
      <c r="A18" s="190">
        <v>13</v>
      </c>
      <c r="B18" s="190" t="s">
        <v>286</v>
      </c>
      <c r="C18" s="190" t="s">
        <v>67</v>
      </c>
      <c r="D18" s="191">
        <v>358</v>
      </c>
      <c r="E18" s="191">
        <v>107</v>
      </c>
      <c r="F18" s="83"/>
      <c r="G18" s="83"/>
      <c r="H18" s="82" t="s">
        <v>333</v>
      </c>
      <c r="I18" s="82" t="s">
        <v>334</v>
      </c>
      <c r="J18" s="84"/>
      <c r="K18" s="194"/>
      <c r="L18" s="84"/>
      <c r="M18" s="85"/>
      <c r="N18" s="65" t="str">
        <f t="shared" si="0"/>
        <v>임김종호</v>
      </c>
      <c r="O18" s="66" t="str">
        <f t="shared" si="1"/>
        <v>-</v>
      </c>
      <c r="P18" s="71"/>
      <c r="Q18" s="72"/>
      <c r="R18" s="66"/>
      <c r="S18" s="66"/>
      <c r="T18" s="66"/>
    </row>
    <row r="19" spans="1:20" ht="27" customHeight="1">
      <c r="A19" s="190">
        <v>14</v>
      </c>
      <c r="B19" s="190">
        <v>971</v>
      </c>
      <c r="C19" s="190" t="s">
        <v>7</v>
      </c>
      <c r="D19" s="191">
        <v>1012</v>
      </c>
      <c r="E19" s="191">
        <v>600</v>
      </c>
      <c r="F19" s="83"/>
      <c r="G19" s="83"/>
      <c r="H19" s="82" t="s">
        <v>335</v>
      </c>
      <c r="I19" s="82">
        <v>641</v>
      </c>
      <c r="J19" s="84"/>
      <c r="K19" s="194"/>
      <c r="L19" s="84"/>
      <c r="M19" s="85"/>
      <c r="N19" s="65" t="str">
        <f t="shared" si="0"/>
        <v>답이월출</v>
      </c>
      <c r="O19" s="66" t="str">
        <f t="shared" si="1"/>
        <v>-</v>
      </c>
      <c r="P19" s="71"/>
      <c r="Q19" s="72"/>
      <c r="R19" s="66"/>
      <c r="S19" s="66"/>
      <c r="T19" s="66"/>
    </row>
    <row r="20" spans="1:20" ht="27" customHeight="1">
      <c r="A20" s="190">
        <v>15</v>
      </c>
      <c r="B20" s="190" t="s">
        <v>287</v>
      </c>
      <c r="C20" s="190" t="s">
        <v>92</v>
      </c>
      <c r="D20" s="191">
        <v>66</v>
      </c>
      <c r="E20" s="191">
        <v>66</v>
      </c>
      <c r="F20" s="83"/>
      <c r="G20" s="83"/>
      <c r="H20" s="82" t="s">
        <v>336</v>
      </c>
      <c r="I20" s="82">
        <v>383</v>
      </c>
      <c r="J20" s="84" t="s">
        <v>544</v>
      </c>
      <c r="K20" s="194"/>
      <c r="L20" s="84" t="s">
        <v>543</v>
      </c>
      <c r="M20" s="85"/>
      <c r="N20" s="65" t="str">
        <f t="shared" si="0"/>
        <v>도황보청</v>
      </c>
      <c r="O20" s="66" t="str">
        <f t="shared" si="1"/>
        <v>-</v>
      </c>
      <c r="P20" s="71"/>
      <c r="Q20" s="72"/>
      <c r="R20" s="66"/>
      <c r="S20" s="66"/>
      <c r="T20" s="66"/>
    </row>
    <row r="21" spans="1:20" ht="27" customHeight="1">
      <c r="A21" s="190">
        <v>16</v>
      </c>
      <c r="B21" s="190" t="s">
        <v>288</v>
      </c>
      <c r="C21" s="190" t="s">
        <v>7</v>
      </c>
      <c r="D21" s="191">
        <v>3568</v>
      </c>
      <c r="E21" s="191">
        <v>594</v>
      </c>
      <c r="F21" s="83"/>
      <c r="G21" s="83"/>
      <c r="H21" s="82" t="s">
        <v>337</v>
      </c>
      <c r="I21" s="82" t="s">
        <v>338</v>
      </c>
      <c r="J21" s="84"/>
      <c r="K21" s="194"/>
      <c r="L21" s="84"/>
      <c r="M21" s="85"/>
      <c r="N21" s="65" t="str">
        <f t="shared" si="0"/>
        <v>답이동은</v>
      </c>
      <c r="O21" s="66" t="str">
        <f t="shared" si="1"/>
        <v>-</v>
      </c>
      <c r="P21" s="71"/>
      <c r="Q21" s="72"/>
      <c r="R21" s="66"/>
      <c r="S21" s="66"/>
      <c r="T21" s="66"/>
    </row>
    <row r="22" spans="1:20" ht="27" customHeight="1">
      <c r="A22" s="190">
        <v>17</v>
      </c>
      <c r="B22" s="190" t="s">
        <v>289</v>
      </c>
      <c r="C22" s="190" t="s">
        <v>92</v>
      </c>
      <c r="D22" s="191">
        <v>126</v>
      </c>
      <c r="E22" s="191">
        <v>112</v>
      </c>
      <c r="F22" s="83"/>
      <c r="G22" s="83"/>
      <c r="H22" s="82" t="s">
        <v>533</v>
      </c>
      <c r="I22" s="82" t="s">
        <v>329</v>
      </c>
      <c r="J22" s="84"/>
      <c r="K22" s="194"/>
      <c r="L22" s="84"/>
      <c r="M22" s="85"/>
      <c r="N22" s="65" t="str">
        <f t="shared" si="0"/>
        <v>도공</v>
      </c>
      <c r="O22" s="66" t="str">
        <f t="shared" si="1"/>
        <v>-</v>
      </c>
      <c r="P22" s="71"/>
      <c r="Q22" s="72"/>
      <c r="R22" s="66"/>
      <c r="S22" s="66"/>
      <c r="T22" s="67"/>
    </row>
    <row r="23" spans="1:20" ht="27" customHeight="1">
      <c r="A23" s="190">
        <v>18</v>
      </c>
      <c r="B23" s="190" t="s">
        <v>290</v>
      </c>
      <c r="C23" s="190" t="s">
        <v>92</v>
      </c>
      <c r="D23" s="191">
        <v>188</v>
      </c>
      <c r="E23" s="191">
        <v>145</v>
      </c>
      <c r="F23" s="83"/>
      <c r="G23" s="83"/>
      <c r="H23" s="82" t="s">
        <v>339</v>
      </c>
      <c r="I23" s="157" t="s">
        <v>340</v>
      </c>
      <c r="J23" s="84"/>
      <c r="K23" s="194"/>
      <c r="L23" s="84"/>
      <c r="M23" s="85"/>
      <c r="N23" s="65" t="str">
        <f t="shared" si="0"/>
        <v>도하경태</v>
      </c>
      <c r="O23" s="66" t="str">
        <f t="shared" si="1"/>
        <v>-</v>
      </c>
      <c r="P23" s="71"/>
      <c r="Q23" s="72"/>
      <c r="R23" s="66"/>
      <c r="S23" s="66"/>
      <c r="T23" s="67"/>
    </row>
    <row r="24" spans="1:23" ht="27" customHeight="1">
      <c r="A24" s="190">
        <v>19</v>
      </c>
      <c r="B24" s="190" t="s">
        <v>291</v>
      </c>
      <c r="C24" s="190" t="s">
        <v>92</v>
      </c>
      <c r="D24" s="191">
        <v>274</v>
      </c>
      <c r="E24" s="191">
        <v>58</v>
      </c>
      <c r="F24" s="83"/>
      <c r="G24" s="83"/>
      <c r="H24" s="82" t="s">
        <v>533</v>
      </c>
      <c r="I24" s="82" t="s">
        <v>329</v>
      </c>
      <c r="J24" s="84"/>
      <c r="K24" s="194"/>
      <c r="L24" s="84"/>
      <c r="M24" s="85"/>
      <c r="N24" s="65" t="str">
        <f t="shared" si="0"/>
        <v>도공</v>
      </c>
      <c r="O24" s="66" t="str">
        <f t="shared" si="1"/>
        <v>-</v>
      </c>
      <c r="P24" s="71"/>
      <c r="Q24" s="72"/>
      <c r="R24" s="66"/>
      <c r="S24" s="66"/>
      <c r="T24" s="68"/>
      <c r="U24" s="66"/>
      <c r="V24" s="66"/>
      <c r="W24" s="66"/>
    </row>
    <row r="25" spans="1:20" ht="27" customHeight="1">
      <c r="A25" s="190">
        <v>20</v>
      </c>
      <c r="B25" s="190" t="s">
        <v>292</v>
      </c>
      <c r="C25" s="190" t="s">
        <v>92</v>
      </c>
      <c r="D25" s="191">
        <v>1102</v>
      </c>
      <c r="E25" s="191">
        <v>26</v>
      </c>
      <c r="F25" s="83"/>
      <c r="G25" s="83"/>
      <c r="H25" s="82" t="s">
        <v>310</v>
      </c>
      <c r="I25" s="82" t="s">
        <v>330</v>
      </c>
      <c r="J25" s="84"/>
      <c r="K25" s="84"/>
      <c r="L25" s="84"/>
      <c r="M25" s="85"/>
      <c r="N25" s="65" t="str">
        <f t="shared" si="0"/>
        <v>도국</v>
      </c>
      <c r="O25" s="66" t="str">
        <f t="shared" si="1"/>
        <v>-</v>
      </c>
      <c r="P25" s="71"/>
      <c r="Q25" s="72"/>
      <c r="R25" s="66"/>
      <c r="S25" s="66"/>
      <c r="T25" s="66"/>
    </row>
    <row r="26" spans="1:21" s="1" customFormat="1" ht="27" customHeight="1">
      <c r="A26" s="199" t="s">
        <v>37</v>
      </c>
      <c r="B26" s="200"/>
      <c r="C26" s="200"/>
      <c r="D26" s="201"/>
      <c r="E26" s="201">
        <f>SUM(E6:E25)</f>
        <v>6194</v>
      </c>
      <c r="F26" s="202"/>
      <c r="G26" s="202"/>
      <c r="H26" s="202"/>
      <c r="I26" s="202"/>
      <c r="J26" s="202"/>
      <c r="K26" s="202"/>
      <c r="L26" s="202"/>
      <c r="M26" s="202"/>
      <c r="N26" s="65">
        <f t="shared" si="0"/>
      </c>
      <c r="O26" s="66" t="str">
        <f t="shared" si="1"/>
        <v>ERR</v>
      </c>
      <c r="P26" s="2"/>
      <c r="Q26" s="2"/>
      <c r="R26" s="2">
        <f>IF(C26=Q26,0,2)</f>
        <v>0</v>
      </c>
      <c r="S26" s="2"/>
      <c r="T26" s="2"/>
      <c r="U26" s="2"/>
    </row>
    <row r="27" spans="1:20" ht="27" customHeight="1">
      <c r="A27" s="190">
        <v>21</v>
      </c>
      <c r="B27" s="190" t="s">
        <v>293</v>
      </c>
      <c r="C27" s="190" t="s">
        <v>67</v>
      </c>
      <c r="D27" s="191">
        <v>5405</v>
      </c>
      <c r="E27" s="191">
        <v>696</v>
      </c>
      <c r="F27" s="83"/>
      <c r="G27" s="83"/>
      <c r="H27" s="157" t="s">
        <v>341</v>
      </c>
      <c r="I27" s="82" t="s">
        <v>342</v>
      </c>
      <c r="J27" s="189" t="s">
        <v>577</v>
      </c>
      <c r="K27" s="194" t="s">
        <v>545</v>
      </c>
      <c r="L27" s="84" t="s">
        <v>546</v>
      </c>
      <c r="M27" s="85"/>
      <c r="N27" s="65" t="str">
        <f t="shared" si="0"/>
        <v>임진주하씨문효공파구평2리도문중</v>
      </c>
      <c r="O27" s="66" t="str">
        <f t="shared" si="1"/>
        <v>-</v>
      </c>
      <c r="P27" s="71" t="e">
        <f>VLOOKUP($B27,#REF!,6,FALSE)</f>
        <v>#REF!</v>
      </c>
      <c r="Q27" s="72"/>
      <c r="R27" s="66">
        <f aca="true" t="shared" si="3" ref="R27:R33">IF(C27=Q27,0,2)</f>
        <v>2</v>
      </c>
      <c r="S27" s="66"/>
      <c r="T27" s="66"/>
    </row>
    <row r="28" spans="1:20" ht="27" customHeight="1">
      <c r="A28" s="190">
        <v>22</v>
      </c>
      <c r="B28" s="190">
        <v>987</v>
      </c>
      <c r="C28" s="190" t="s">
        <v>99</v>
      </c>
      <c r="D28" s="191">
        <v>330</v>
      </c>
      <c r="E28" s="191">
        <v>67</v>
      </c>
      <c r="F28" s="83"/>
      <c r="G28" s="83"/>
      <c r="H28" s="82" t="s">
        <v>343</v>
      </c>
      <c r="I28" s="82">
        <v>979</v>
      </c>
      <c r="J28" s="84"/>
      <c r="K28" s="194"/>
      <c r="L28" s="84"/>
      <c r="M28" s="85"/>
      <c r="N28" s="65" t="str">
        <f t="shared" si="0"/>
        <v>대서상출</v>
      </c>
      <c r="O28" s="66" t="str">
        <f t="shared" si="1"/>
        <v>-</v>
      </c>
      <c r="P28" s="71" t="e">
        <f>VLOOKUP($B28,#REF!,6,FALSE)</f>
        <v>#REF!</v>
      </c>
      <c r="Q28" s="72"/>
      <c r="R28" s="66">
        <f t="shared" si="3"/>
        <v>2</v>
      </c>
      <c r="S28" s="66"/>
      <c r="T28" s="66"/>
    </row>
    <row r="29" spans="1:20" ht="27" customHeight="1">
      <c r="A29" s="190">
        <v>23</v>
      </c>
      <c r="B29" s="190">
        <v>982</v>
      </c>
      <c r="C29" s="190" t="s">
        <v>6</v>
      </c>
      <c r="D29" s="191">
        <v>1548</v>
      </c>
      <c r="E29" s="191">
        <v>3</v>
      </c>
      <c r="F29" s="83"/>
      <c r="G29" s="83"/>
      <c r="H29" s="82" t="s">
        <v>344</v>
      </c>
      <c r="I29" s="157" t="s">
        <v>345</v>
      </c>
      <c r="J29" s="84" t="s">
        <v>547</v>
      </c>
      <c r="K29" s="194" t="s">
        <v>548</v>
      </c>
      <c r="L29" s="84" t="s">
        <v>549</v>
      </c>
      <c r="M29" s="85"/>
      <c r="N29" s="65" t="str">
        <f t="shared" si="0"/>
        <v>전장복희</v>
      </c>
      <c r="O29" s="66" t="str">
        <f t="shared" si="1"/>
        <v>-</v>
      </c>
      <c r="P29" s="71" t="e">
        <f>VLOOKUP($B29,#REF!,6,FALSE)</f>
        <v>#REF!</v>
      </c>
      <c r="Q29" s="72"/>
      <c r="R29" s="66">
        <f t="shared" si="3"/>
        <v>2</v>
      </c>
      <c r="S29" s="66"/>
      <c r="T29" s="66"/>
    </row>
    <row r="30" spans="1:20" ht="27" customHeight="1">
      <c r="A30" s="190">
        <v>24</v>
      </c>
      <c r="B30" s="190" t="s">
        <v>294</v>
      </c>
      <c r="C30" s="190" t="s">
        <v>6</v>
      </c>
      <c r="D30" s="191">
        <v>645</v>
      </c>
      <c r="E30" s="191">
        <v>88</v>
      </c>
      <c r="F30" s="83"/>
      <c r="G30" s="83"/>
      <c r="H30" s="82" t="s">
        <v>346</v>
      </c>
      <c r="I30" s="82" t="s">
        <v>347</v>
      </c>
      <c r="J30" s="84"/>
      <c r="K30" s="194"/>
      <c r="L30" s="84"/>
      <c r="M30" s="85"/>
      <c r="N30" s="65" t="str">
        <f t="shared" si="0"/>
        <v>전장복희 외 2인</v>
      </c>
      <c r="O30" s="66" t="str">
        <f t="shared" si="1"/>
        <v>-</v>
      </c>
      <c r="P30" s="71" t="e">
        <f>VLOOKUP($B30,#REF!,6,FALSE)</f>
        <v>#REF!</v>
      </c>
      <c r="Q30" s="72"/>
      <c r="R30" s="66">
        <f t="shared" si="3"/>
        <v>2</v>
      </c>
      <c r="S30" s="66"/>
      <c r="T30" s="66"/>
    </row>
    <row r="31" spans="1:20" ht="27" customHeight="1">
      <c r="A31" s="190">
        <v>25</v>
      </c>
      <c r="B31" s="190" t="s">
        <v>295</v>
      </c>
      <c r="C31" s="190" t="s">
        <v>6</v>
      </c>
      <c r="D31" s="191">
        <v>2005</v>
      </c>
      <c r="E31" s="191">
        <v>4</v>
      </c>
      <c r="F31" s="83"/>
      <c r="G31" s="83"/>
      <c r="H31" s="82" t="s">
        <v>344</v>
      </c>
      <c r="I31" s="157" t="s">
        <v>345</v>
      </c>
      <c r="J31" s="84" t="s">
        <v>547</v>
      </c>
      <c r="K31" s="194" t="s">
        <v>548</v>
      </c>
      <c r="L31" s="84" t="s">
        <v>549</v>
      </c>
      <c r="M31" s="85"/>
      <c r="N31" s="65" t="str">
        <f t="shared" si="0"/>
        <v>전장복희</v>
      </c>
      <c r="O31" s="66" t="str">
        <f t="shared" si="1"/>
        <v>-</v>
      </c>
      <c r="P31" s="71" t="e">
        <f>VLOOKUP($B31,#REF!,6,FALSE)</f>
        <v>#REF!</v>
      </c>
      <c r="Q31" s="72"/>
      <c r="R31" s="66">
        <f t="shared" si="3"/>
        <v>2</v>
      </c>
      <c r="S31" s="66"/>
      <c r="T31" s="66"/>
    </row>
    <row r="32" spans="1:20" ht="27" customHeight="1">
      <c r="A32" s="190">
        <v>26</v>
      </c>
      <c r="B32" s="190">
        <v>260</v>
      </c>
      <c r="C32" s="190" t="s">
        <v>153</v>
      </c>
      <c r="D32" s="191">
        <v>345</v>
      </c>
      <c r="E32" s="191">
        <v>38</v>
      </c>
      <c r="F32" s="83"/>
      <c r="G32" s="83"/>
      <c r="H32" s="82" t="s">
        <v>348</v>
      </c>
      <c r="I32" s="82" t="s">
        <v>349</v>
      </c>
      <c r="J32" s="84"/>
      <c r="K32" s="194"/>
      <c r="L32" s="84"/>
      <c r="M32" s="85" t="s">
        <v>575</v>
      </c>
      <c r="N32" s="65" t="str">
        <f t="shared" si="0"/>
        <v>묘이능수</v>
      </c>
      <c r="O32" s="66" t="str">
        <f t="shared" si="1"/>
        <v>-</v>
      </c>
      <c r="P32" s="71" t="e">
        <f>VLOOKUP($B32,#REF!,6,FALSE)</f>
        <v>#REF!</v>
      </c>
      <c r="Q32" s="72"/>
      <c r="R32" s="66">
        <f t="shared" si="3"/>
        <v>2</v>
      </c>
      <c r="S32" s="66"/>
      <c r="T32" s="66"/>
    </row>
    <row r="33" spans="1:20" ht="27" customHeight="1">
      <c r="A33" s="190">
        <v>27</v>
      </c>
      <c r="B33" s="190">
        <v>261</v>
      </c>
      <c r="C33" s="190" t="s">
        <v>7</v>
      </c>
      <c r="D33" s="191">
        <v>664</v>
      </c>
      <c r="E33" s="191">
        <v>8</v>
      </c>
      <c r="F33" s="83"/>
      <c r="G33" s="83"/>
      <c r="H33" s="82" t="s">
        <v>350</v>
      </c>
      <c r="I33" s="157" t="s">
        <v>351</v>
      </c>
      <c r="J33" s="84"/>
      <c r="K33" s="194"/>
      <c r="L33" s="84"/>
      <c r="M33" s="85"/>
      <c r="N33" s="65" t="str">
        <f t="shared" si="0"/>
        <v>답이상호</v>
      </c>
      <c r="O33" s="66" t="str">
        <f t="shared" si="1"/>
        <v>-</v>
      </c>
      <c r="P33" s="71"/>
      <c r="Q33" s="72"/>
      <c r="R33" s="66">
        <f t="shared" si="3"/>
        <v>2</v>
      </c>
      <c r="S33" s="66"/>
      <c r="T33" s="66"/>
    </row>
    <row r="34" spans="1:20" ht="27" customHeight="1">
      <c r="A34" s="190">
        <v>28</v>
      </c>
      <c r="B34" s="190" t="s">
        <v>296</v>
      </c>
      <c r="C34" s="190" t="s">
        <v>6</v>
      </c>
      <c r="D34" s="191">
        <v>688</v>
      </c>
      <c r="E34" s="191">
        <v>35</v>
      </c>
      <c r="F34" s="83"/>
      <c r="G34" s="83"/>
      <c r="H34" s="82" t="s">
        <v>310</v>
      </c>
      <c r="I34" s="82" t="s">
        <v>311</v>
      </c>
      <c r="J34" s="84"/>
      <c r="K34" s="194"/>
      <c r="L34" s="84"/>
      <c r="M34" s="85"/>
      <c r="N34" s="65" t="str">
        <f t="shared" si="0"/>
        <v>전국</v>
      </c>
      <c r="O34" s="66" t="str">
        <f t="shared" si="1"/>
        <v>-</v>
      </c>
      <c r="P34" s="71"/>
      <c r="Q34" s="72"/>
      <c r="R34" s="66"/>
      <c r="S34" s="66"/>
      <c r="T34" s="66"/>
    </row>
    <row r="35" spans="1:20" ht="27" customHeight="1">
      <c r="A35" s="190">
        <v>29</v>
      </c>
      <c r="B35" s="190">
        <v>266</v>
      </c>
      <c r="C35" s="190" t="s">
        <v>6</v>
      </c>
      <c r="D35" s="191">
        <v>2104</v>
      </c>
      <c r="E35" s="191">
        <v>1138</v>
      </c>
      <c r="F35" s="83"/>
      <c r="G35" s="83"/>
      <c r="H35" s="82" t="s">
        <v>352</v>
      </c>
      <c r="I35" s="82" t="s">
        <v>353</v>
      </c>
      <c r="J35" s="84" t="s">
        <v>547</v>
      </c>
      <c r="K35" s="194" t="s">
        <v>548</v>
      </c>
      <c r="L35" s="84" t="s">
        <v>549</v>
      </c>
      <c r="M35" s="85"/>
      <c r="N35" s="65" t="str">
        <f t="shared" si="0"/>
        <v>전김명권</v>
      </c>
      <c r="O35" s="66" t="str">
        <f t="shared" si="1"/>
        <v>-</v>
      </c>
      <c r="P35" s="71"/>
      <c r="Q35" s="72"/>
      <c r="R35" s="66"/>
      <c r="S35" s="66"/>
      <c r="T35" s="66"/>
    </row>
    <row r="36" spans="1:20" ht="27" customHeight="1">
      <c r="A36" s="190">
        <v>30</v>
      </c>
      <c r="B36" s="190">
        <v>271</v>
      </c>
      <c r="C36" s="190" t="s">
        <v>6</v>
      </c>
      <c r="D36" s="191">
        <v>1233</v>
      </c>
      <c r="E36" s="191">
        <v>270</v>
      </c>
      <c r="F36" s="83"/>
      <c r="G36" s="83"/>
      <c r="H36" s="82" t="s">
        <v>354</v>
      </c>
      <c r="I36" s="82" t="s">
        <v>355</v>
      </c>
      <c r="J36" s="84"/>
      <c r="K36" s="194"/>
      <c r="L36" s="84"/>
      <c r="M36" s="85"/>
      <c r="N36" s="65" t="str">
        <f t="shared" si="0"/>
        <v>전이규대</v>
      </c>
      <c r="O36" s="66" t="str">
        <f t="shared" si="1"/>
        <v>-</v>
      </c>
      <c r="P36" s="71"/>
      <c r="Q36" s="72"/>
      <c r="R36" s="66"/>
      <c r="S36" s="66"/>
      <c r="T36" s="66"/>
    </row>
    <row r="37" spans="1:20" ht="27" customHeight="1">
      <c r="A37" s="190">
        <v>31</v>
      </c>
      <c r="B37" s="190">
        <v>272</v>
      </c>
      <c r="C37" s="190" t="s">
        <v>6</v>
      </c>
      <c r="D37" s="191">
        <v>963</v>
      </c>
      <c r="E37" s="191">
        <v>754</v>
      </c>
      <c r="F37" s="83"/>
      <c r="G37" s="83"/>
      <c r="H37" s="82" t="s">
        <v>356</v>
      </c>
      <c r="I37" s="82" t="s">
        <v>357</v>
      </c>
      <c r="J37" s="84" t="s">
        <v>547</v>
      </c>
      <c r="K37" s="194" t="s">
        <v>548</v>
      </c>
      <c r="L37" s="84" t="s">
        <v>549</v>
      </c>
      <c r="M37" s="85"/>
      <c r="N37" s="65" t="str">
        <f t="shared" si="0"/>
        <v>전김병대</v>
      </c>
      <c r="O37" s="66" t="str">
        <f t="shared" si="1"/>
        <v>-</v>
      </c>
      <c r="P37" s="71"/>
      <c r="Q37" s="72"/>
      <c r="R37" s="66"/>
      <c r="S37" s="66"/>
      <c r="T37" s="66"/>
    </row>
    <row r="38" spans="1:20" ht="27" customHeight="1">
      <c r="A38" s="190">
        <v>32</v>
      </c>
      <c r="B38" s="190">
        <v>280</v>
      </c>
      <c r="C38" s="190" t="s">
        <v>6</v>
      </c>
      <c r="D38" s="191">
        <v>1983</v>
      </c>
      <c r="E38" s="191">
        <v>475</v>
      </c>
      <c r="F38" s="83"/>
      <c r="G38" s="83"/>
      <c r="H38" s="82" t="s">
        <v>358</v>
      </c>
      <c r="I38" s="157" t="s">
        <v>359</v>
      </c>
      <c r="J38" s="84"/>
      <c r="K38" s="194"/>
      <c r="L38" s="84"/>
      <c r="M38" s="85"/>
      <c r="N38" s="65" t="str">
        <f t="shared" si="0"/>
        <v>전이병원</v>
      </c>
      <c r="O38" s="66" t="str">
        <f t="shared" si="1"/>
        <v>-</v>
      </c>
      <c r="P38" s="71"/>
      <c r="Q38" s="72"/>
      <c r="R38" s="66"/>
      <c r="S38" s="66"/>
      <c r="T38" s="66"/>
    </row>
    <row r="39" spans="1:20" ht="27" customHeight="1">
      <c r="A39" s="190">
        <v>33</v>
      </c>
      <c r="B39" s="190">
        <v>279</v>
      </c>
      <c r="C39" s="190" t="s">
        <v>6</v>
      </c>
      <c r="D39" s="191">
        <v>734</v>
      </c>
      <c r="E39" s="191">
        <v>734</v>
      </c>
      <c r="F39" s="83"/>
      <c r="G39" s="83"/>
      <c r="H39" s="82" t="s">
        <v>360</v>
      </c>
      <c r="I39" s="82" t="s">
        <v>355</v>
      </c>
      <c r="J39" s="84"/>
      <c r="K39" s="194"/>
      <c r="L39" s="84"/>
      <c r="M39" s="85"/>
      <c r="N39" s="65" t="str">
        <f t="shared" si="0"/>
        <v>전김병호</v>
      </c>
      <c r="O39" s="66" t="str">
        <f t="shared" si="1"/>
        <v>-</v>
      </c>
      <c r="P39" s="71"/>
      <c r="Q39" s="72"/>
      <c r="R39" s="66"/>
      <c r="S39" s="66"/>
      <c r="T39" s="66"/>
    </row>
    <row r="40" spans="1:20" ht="27" customHeight="1">
      <c r="A40" s="190">
        <v>34</v>
      </c>
      <c r="B40" s="190" t="s">
        <v>297</v>
      </c>
      <c r="C40" s="190" t="s">
        <v>92</v>
      </c>
      <c r="D40" s="191">
        <v>1516</v>
      </c>
      <c r="E40" s="191">
        <v>67</v>
      </c>
      <c r="F40" s="83"/>
      <c r="G40" s="83"/>
      <c r="H40" s="82" t="s">
        <v>310</v>
      </c>
      <c r="I40" s="82" t="s">
        <v>330</v>
      </c>
      <c r="J40" s="84"/>
      <c r="K40" s="84"/>
      <c r="L40" s="84"/>
      <c r="M40" s="85"/>
      <c r="N40" s="65" t="str">
        <f t="shared" si="0"/>
        <v>도국</v>
      </c>
      <c r="O40" s="66" t="str">
        <f t="shared" si="1"/>
        <v>-</v>
      </c>
      <c r="P40" s="71"/>
      <c r="Q40" s="72"/>
      <c r="R40" s="66"/>
      <c r="S40" s="66"/>
      <c r="T40" s="66"/>
    </row>
    <row r="41" spans="1:20" ht="27" customHeight="1">
      <c r="A41" s="190">
        <v>35</v>
      </c>
      <c r="B41" s="190" t="s">
        <v>298</v>
      </c>
      <c r="C41" s="190" t="s">
        <v>7</v>
      </c>
      <c r="D41" s="191">
        <v>1012</v>
      </c>
      <c r="E41" s="191">
        <v>67</v>
      </c>
      <c r="F41" s="83"/>
      <c r="G41" s="83"/>
      <c r="H41" s="82" t="s">
        <v>361</v>
      </c>
      <c r="I41" s="157" t="s">
        <v>362</v>
      </c>
      <c r="J41" s="84"/>
      <c r="K41" s="194"/>
      <c r="L41" s="84"/>
      <c r="M41" s="85"/>
      <c r="N41" s="65" t="str">
        <f t="shared" si="0"/>
        <v>답김태식</v>
      </c>
      <c r="O41" s="66" t="str">
        <f t="shared" si="1"/>
        <v>-</v>
      </c>
      <c r="P41" s="71"/>
      <c r="Q41" s="72"/>
      <c r="R41" s="66"/>
      <c r="S41" s="66"/>
      <c r="T41" s="66"/>
    </row>
    <row r="42" spans="1:20" ht="27" customHeight="1">
      <c r="A42" s="190">
        <v>36</v>
      </c>
      <c r="B42" s="190">
        <v>299</v>
      </c>
      <c r="C42" s="190" t="s">
        <v>7</v>
      </c>
      <c r="D42" s="191">
        <v>2047</v>
      </c>
      <c r="E42" s="191">
        <v>255</v>
      </c>
      <c r="F42" s="83"/>
      <c r="G42" s="83"/>
      <c r="H42" s="82" t="s">
        <v>363</v>
      </c>
      <c r="I42" s="157" t="s">
        <v>364</v>
      </c>
      <c r="J42" s="204" t="s">
        <v>576</v>
      </c>
      <c r="K42" s="194" t="s">
        <v>550</v>
      </c>
      <c r="L42" s="84" t="s">
        <v>549</v>
      </c>
      <c r="M42" s="85"/>
      <c r="N42" s="65" t="str">
        <f t="shared" si="0"/>
        <v>답이귀자 외3인</v>
      </c>
      <c r="O42" s="66" t="str">
        <f t="shared" si="1"/>
        <v>-</v>
      </c>
      <c r="P42" s="71"/>
      <c r="Q42" s="72"/>
      <c r="R42" s="66"/>
      <c r="S42" s="66"/>
      <c r="T42" s="66"/>
    </row>
    <row r="43" spans="1:20" ht="27" customHeight="1">
      <c r="A43" s="190">
        <v>37</v>
      </c>
      <c r="B43" s="190" t="s">
        <v>299</v>
      </c>
      <c r="C43" s="190" t="s">
        <v>7</v>
      </c>
      <c r="D43" s="191">
        <v>389</v>
      </c>
      <c r="E43" s="191">
        <v>169</v>
      </c>
      <c r="F43" s="83"/>
      <c r="G43" s="83"/>
      <c r="H43" s="82" t="s">
        <v>360</v>
      </c>
      <c r="I43" s="82" t="s">
        <v>355</v>
      </c>
      <c r="J43" s="84"/>
      <c r="K43" s="194"/>
      <c r="L43" s="84"/>
      <c r="M43" s="85"/>
      <c r="N43" s="65" t="str">
        <f t="shared" si="0"/>
        <v>답김병호</v>
      </c>
      <c r="O43" s="66" t="str">
        <f t="shared" si="1"/>
        <v>-</v>
      </c>
      <c r="P43" s="71"/>
      <c r="Q43" s="72"/>
      <c r="R43" s="66"/>
      <c r="S43" s="66"/>
      <c r="T43" s="67"/>
    </row>
    <row r="44" spans="1:20" ht="27" customHeight="1">
      <c r="A44" s="190">
        <v>38</v>
      </c>
      <c r="B44" s="190" t="s">
        <v>300</v>
      </c>
      <c r="C44" s="190" t="s">
        <v>7</v>
      </c>
      <c r="D44" s="191">
        <v>669</v>
      </c>
      <c r="E44" s="191">
        <v>140</v>
      </c>
      <c r="F44" s="83"/>
      <c r="G44" s="83"/>
      <c r="H44" s="82" t="s">
        <v>365</v>
      </c>
      <c r="I44" s="157" t="s">
        <v>366</v>
      </c>
      <c r="J44" s="84"/>
      <c r="K44" s="194"/>
      <c r="L44" s="84"/>
      <c r="M44" s="85"/>
      <c r="N44" s="65" t="str">
        <f t="shared" si="0"/>
        <v>답이운호</v>
      </c>
      <c r="O44" s="66" t="str">
        <f t="shared" si="1"/>
        <v>-</v>
      </c>
      <c r="P44" s="71"/>
      <c r="Q44" s="72"/>
      <c r="R44" s="66"/>
      <c r="S44" s="66"/>
      <c r="T44" s="67"/>
    </row>
    <row r="45" spans="1:23" ht="27" customHeight="1">
      <c r="A45" s="190">
        <v>39</v>
      </c>
      <c r="B45" s="190">
        <v>1141</v>
      </c>
      <c r="C45" s="190" t="s">
        <v>301</v>
      </c>
      <c r="D45" s="191">
        <v>4979</v>
      </c>
      <c r="E45" s="191">
        <v>558</v>
      </c>
      <c r="F45" s="83"/>
      <c r="G45" s="83"/>
      <c r="H45" s="82" t="s">
        <v>310</v>
      </c>
      <c r="I45" s="82" t="s">
        <v>367</v>
      </c>
      <c r="J45" s="84"/>
      <c r="K45" s="84"/>
      <c r="L45" s="84"/>
      <c r="M45" s="85"/>
      <c r="N45" s="65" t="str">
        <f t="shared" si="0"/>
        <v>구국</v>
      </c>
      <c r="O45" s="66" t="str">
        <f t="shared" si="1"/>
        <v>-</v>
      </c>
      <c r="P45" s="71"/>
      <c r="Q45" s="72"/>
      <c r="R45" s="66"/>
      <c r="S45" s="66"/>
      <c r="T45" s="68"/>
      <c r="U45" s="66"/>
      <c r="V45" s="66"/>
      <c r="W45" s="66"/>
    </row>
    <row r="46" spans="1:20" ht="27" customHeight="1">
      <c r="A46" s="190">
        <v>40</v>
      </c>
      <c r="B46" s="190">
        <v>305</v>
      </c>
      <c r="C46" s="190" t="s">
        <v>6</v>
      </c>
      <c r="D46" s="191">
        <v>3088</v>
      </c>
      <c r="E46" s="191">
        <v>141</v>
      </c>
      <c r="F46" s="83"/>
      <c r="G46" s="83"/>
      <c r="H46" s="82" t="s">
        <v>368</v>
      </c>
      <c r="I46" s="82" t="s">
        <v>369</v>
      </c>
      <c r="J46" s="84"/>
      <c r="K46" s="194"/>
      <c r="L46" s="84"/>
      <c r="M46" s="85" t="s">
        <v>575</v>
      </c>
      <c r="N46" s="65" t="str">
        <f t="shared" si="0"/>
        <v>전이진채</v>
      </c>
      <c r="O46" s="66" t="str">
        <f t="shared" si="1"/>
        <v>-</v>
      </c>
      <c r="P46" s="71"/>
      <c r="Q46" s="72"/>
      <c r="R46" s="66"/>
      <c r="S46" s="66"/>
      <c r="T46" s="66"/>
    </row>
    <row r="47" spans="1:21" s="1" customFormat="1" ht="27" customHeight="1">
      <c r="A47" s="199" t="s">
        <v>37</v>
      </c>
      <c r="B47" s="200"/>
      <c r="C47" s="200"/>
      <c r="D47" s="201"/>
      <c r="E47" s="201">
        <f>SUM(E27:E46)</f>
        <v>5707</v>
      </c>
      <c r="F47" s="202"/>
      <c r="G47" s="202"/>
      <c r="H47" s="202"/>
      <c r="I47" s="202"/>
      <c r="J47" s="202"/>
      <c r="K47" s="202"/>
      <c r="L47" s="202"/>
      <c r="M47" s="202"/>
      <c r="N47" s="65">
        <f t="shared" si="0"/>
      </c>
      <c r="O47" s="66" t="str">
        <f t="shared" si="1"/>
        <v>ERR</v>
      </c>
      <c r="P47" s="2"/>
      <c r="Q47" s="2"/>
      <c r="R47" s="2">
        <f>IF(C47=Q47,0,2)</f>
        <v>0</v>
      </c>
      <c r="S47" s="2"/>
      <c r="T47" s="2"/>
      <c r="U47" s="2"/>
    </row>
    <row r="48" spans="1:20" ht="27" customHeight="1">
      <c r="A48" s="190">
        <v>41</v>
      </c>
      <c r="B48" s="190" t="s">
        <v>302</v>
      </c>
      <c r="C48" s="190" t="s">
        <v>92</v>
      </c>
      <c r="D48" s="191">
        <v>907</v>
      </c>
      <c r="E48" s="191">
        <v>25</v>
      </c>
      <c r="F48" s="83"/>
      <c r="G48" s="83"/>
      <c r="H48" s="82" t="s">
        <v>310</v>
      </c>
      <c r="I48" s="82" t="s">
        <v>330</v>
      </c>
      <c r="J48" s="84"/>
      <c r="K48" s="84"/>
      <c r="L48" s="84"/>
      <c r="M48" s="85"/>
      <c r="N48" s="65" t="str">
        <f t="shared" si="0"/>
        <v>도국</v>
      </c>
      <c r="O48" s="66" t="str">
        <f t="shared" si="1"/>
        <v>-</v>
      </c>
      <c r="P48" s="71" t="e">
        <f>VLOOKUP($B48,#REF!,6,FALSE)</f>
        <v>#REF!</v>
      </c>
      <c r="Q48" s="72"/>
      <c r="R48" s="66">
        <f aca="true" t="shared" si="4" ref="R48:R54">IF(C48=Q48,0,2)</f>
        <v>2</v>
      </c>
      <c r="S48" s="66"/>
      <c r="T48" s="66"/>
    </row>
    <row r="49" spans="1:20" ht="27" customHeight="1">
      <c r="A49" s="190">
        <v>42</v>
      </c>
      <c r="B49" s="190">
        <v>357</v>
      </c>
      <c r="C49" s="190" t="s">
        <v>92</v>
      </c>
      <c r="D49" s="191">
        <v>4128</v>
      </c>
      <c r="E49" s="191">
        <v>551</v>
      </c>
      <c r="F49" s="83"/>
      <c r="G49" s="83"/>
      <c r="H49" s="82" t="s">
        <v>310</v>
      </c>
      <c r="I49" s="82" t="s">
        <v>315</v>
      </c>
      <c r="J49" s="84"/>
      <c r="K49" s="194"/>
      <c r="L49" s="84"/>
      <c r="M49" s="85"/>
      <c r="N49" s="65" t="str">
        <f t="shared" si="0"/>
        <v>도국</v>
      </c>
      <c r="O49" s="66" t="str">
        <f t="shared" si="1"/>
        <v>-</v>
      </c>
      <c r="P49" s="71" t="e">
        <f>VLOOKUP($B49,#REF!,6,FALSE)</f>
        <v>#REF!</v>
      </c>
      <c r="Q49" s="72"/>
      <c r="R49" s="66">
        <f t="shared" si="4"/>
        <v>2</v>
      </c>
      <c r="S49" s="66"/>
      <c r="T49" s="66"/>
    </row>
    <row r="50" spans="1:20" ht="27" customHeight="1">
      <c r="A50" s="190">
        <v>43</v>
      </c>
      <c r="B50" s="190" t="s">
        <v>303</v>
      </c>
      <c r="C50" s="190" t="s">
        <v>92</v>
      </c>
      <c r="D50" s="191">
        <v>66</v>
      </c>
      <c r="E50" s="191">
        <v>43</v>
      </c>
      <c r="F50" s="83"/>
      <c r="G50" s="83"/>
      <c r="H50" s="82" t="s">
        <v>370</v>
      </c>
      <c r="I50" s="82" t="s">
        <v>371</v>
      </c>
      <c r="J50" s="84"/>
      <c r="K50" s="194"/>
      <c r="L50" s="84"/>
      <c r="M50" s="85"/>
      <c r="N50" s="65" t="str">
        <f t="shared" si="0"/>
        <v>도이정근</v>
      </c>
      <c r="O50" s="66" t="str">
        <f t="shared" si="1"/>
        <v>-</v>
      </c>
      <c r="P50" s="71" t="e">
        <f>VLOOKUP($B50,#REF!,6,FALSE)</f>
        <v>#REF!</v>
      </c>
      <c r="Q50" s="72"/>
      <c r="R50" s="66">
        <f t="shared" si="4"/>
        <v>2</v>
      </c>
      <c r="S50" s="66"/>
      <c r="T50" s="66"/>
    </row>
    <row r="51" spans="1:20" ht="27" customHeight="1">
      <c r="A51" s="190">
        <v>44</v>
      </c>
      <c r="B51" s="190" t="s">
        <v>304</v>
      </c>
      <c r="C51" s="190" t="s">
        <v>92</v>
      </c>
      <c r="D51" s="191">
        <v>22</v>
      </c>
      <c r="E51" s="191">
        <v>22</v>
      </c>
      <c r="F51" s="83"/>
      <c r="G51" s="83"/>
      <c r="H51" s="82" t="s">
        <v>310</v>
      </c>
      <c r="I51" s="82" t="s">
        <v>330</v>
      </c>
      <c r="J51" s="84"/>
      <c r="K51" s="84"/>
      <c r="L51" s="84"/>
      <c r="M51" s="85"/>
      <c r="N51" s="65" t="str">
        <f t="shared" si="0"/>
        <v>도국</v>
      </c>
      <c r="O51" s="66" t="str">
        <f t="shared" si="1"/>
        <v>-</v>
      </c>
      <c r="P51" s="71" t="e">
        <f>VLOOKUP($B51,#REF!,6,FALSE)</f>
        <v>#REF!</v>
      </c>
      <c r="Q51" s="72"/>
      <c r="R51" s="66">
        <f t="shared" si="4"/>
        <v>2</v>
      </c>
      <c r="S51" s="66"/>
      <c r="T51" s="66"/>
    </row>
    <row r="52" spans="1:20" ht="27" customHeight="1">
      <c r="A52" s="190">
        <v>45</v>
      </c>
      <c r="B52" s="190" t="s">
        <v>305</v>
      </c>
      <c r="C52" s="190" t="s">
        <v>92</v>
      </c>
      <c r="D52" s="191">
        <v>6</v>
      </c>
      <c r="E52" s="191">
        <v>6</v>
      </c>
      <c r="F52" s="83"/>
      <c r="G52" s="83"/>
      <c r="H52" s="82" t="s">
        <v>310</v>
      </c>
      <c r="I52" s="82" t="s">
        <v>330</v>
      </c>
      <c r="J52" s="84"/>
      <c r="K52" s="84"/>
      <c r="L52" s="84"/>
      <c r="M52" s="85"/>
      <c r="N52" s="65" t="str">
        <f t="shared" si="0"/>
        <v>도국</v>
      </c>
      <c r="O52" s="66" t="str">
        <f t="shared" si="1"/>
        <v>-</v>
      </c>
      <c r="P52" s="71" t="e">
        <f>VLOOKUP($B52,#REF!,6,FALSE)</f>
        <v>#REF!</v>
      </c>
      <c r="Q52" s="72"/>
      <c r="R52" s="66">
        <f t="shared" si="4"/>
        <v>2</v>
      </c>
      <c r="S52" s="66"/>
      <c r="T52" s="66"/>
    </row>
    <row r="53" spans="1:20" ht="27" customHeight="1">
      <c r="A53" s="190">
        <v>46</v>
      </c>
      <c r="B53" s="190" t="s">
        <v>306</v>
      </c>
      <c r="C53" s="190" t="s">
        <v>92</v>
      </c>
      <c r="D53" s="191">
        <v>275</v>
      </c>
      <c r="E53" s="191">
        <v>86</v>
      </c>
      <c r="F53" s="83"/>
      <c r="G53" s="83"/>
      <c r="H53" s="82" t="s">
        <v>310</v>
      </c>
      <c r="I53" s="82" t="s">
        <v>330</v>
      </c>
      <c r="J53" s="84"/>
      <c r="K53" s="84"/>
      <c r="L53" s="84"/>
      <c r="M53" s="85"/>
      <c r="N53" s="65" t="str">
        <f t="shared" si="0"/>
        <v>도국</v>
      </c>
      <c r="O53" s="66" t="str">
        <f t="shared" si="1"/>
        <v>-</v>
      </c>
      <c r="P53" s="71" t="e">
        <f>VLOOKUP($B53,#REF!,6,FALSE)</f>
        <v>#REF!</v>
      </c>
      <c r="Q53" s="72"/>
      <c r="R53" s="66">
        <f t="shared" si="4"/>
        <v>2</v>
      </c>
      <c r="S53" s="66"/>
      <c r="T53" s="66"/>
    </row>
    <row r="54" spans="1:20" ht="27" customHeight="1">
      <c r="A54" s="190">
        <v>47</v>
      </c>
      <c r="B54" s="190" t="s">
        <v>307</v>
      </c>
      <c r="C54" s="190" t="s">
        <v>92</v>
      </c>
      <c r="D54" s="191">
        <v>70</v>
      </c>
      <c r="E54" s="191">
        <v>70</v>
      </c>
      <c r="F54" s="83"/>
      <c r="G54" s="83"/>
      <c r="H54" s="82" t="s">
        <v>310</v>
      </c>
      <c r="I54" s="82" t="s">
        <v>330</v>
      </c>
      <c r="J54" s="84"/>
      <c r="K54" s="84"/>
      <c r="L54" s="84"/>
      <c r="M54" s="85"/>
      <c r="N54" s="65" t="str">
        <f t="shared" si="0"/>
        <v>도국</v>
      </c>
      <c r="O54" s="66" t="str">
        <f t="shared" si="1"/>
        <v>-</v>
      </c>
      <c r="P54" s="71"/>
      <c r="Q54" s="72"/>
      <c r="R54" s="66">
        <f t="shared" si="4"/>
        <v>2</v>
      </c>
      <c r="S54" s="66"/>
      <c r="T54" s="66"/>
    </row>
    <row r="55" spans="1:20" ht="27" customHeight="1">
      <c r="A55" s="190">
        <v>48</v>
      </c>
      <c r="B55" s="190" t="s">
        <v>308</v>
      </c>
      <c r="C55" s="190" t="s">
        <v>6</v>
      </c>
      <c r="D55" s="191">
        <v>141</v>
      </c>
      <c r="E55" s="191">
        <v>94</v>
      </c>
      <c r="F55" s="83"/>
      <c r="G55" s="83"/>
      <c r="H55" s="82" t="s">
        <v>310</v>
      </c>
      <c r="I55" s="82" t="s">
        <v>311</v>
      </c>
      <c r="J55" s="84"/>
      <c r="K55" s="84"/>
      <c r="L55" s="84"/>
      <c r="M55" s="85"/>
      <c r="N55" s="65" t="str">
        <f t="shared" si="0"/>
        <v>전국</v>
      </c>
      <c r="O55" s="66" t="str">
        <f t="shared" si="1"/>
        <v>-</v>
      </c>
      <c r="P55" s="71"/>
      <c r="Q55" s="72"/>
      <c r="R55" s="66"/>
      <c r="S55" s="66"/>
      <c r="T55" s="66"/>
    </row>
    <row r="56" spans="1:20" ht="27" customHeight="1">
      <c r="A56" s="190">
        <v>49</v>
      </c>
      <c r="B56" s="190" t="s">
        <v>309</v>
      </c>
      <c r="C56" s="190" t="s">
        <v>92</v>
      </c>
      <c r="D56" s="191">
        <v>582</v>
      </c>
      <c r="E56" s="191">
        <v>483</v>
      </c>
      <c r="F56" s="83"/>
      <c r="G56" s="83"/>
      <c r="H56" s="82" t="s">
        <v>310</v>
      </c>
      <c r="I56" s="82" t="s">
        <v>372</v>
      </c>
      <c r="J56" s="84"/>
      <c r="K56" s="194"/>
      <c r="L56" s="84"/>
      <c r="M56" s="85"/>
      <c r="N56" s="65" t="str">
        <f t="shared" si="0"/>
        <v>도국</v>
      </c>
      <c r="O56" s="66" t="str">
        <f t="shared" si="1"/>
        <v>-</v>
      </c>
      <c r="P56" s="71"/>
      <c r="Q56" s="72"/>
      <c r="R56" s="66"/>
      <c r="S56" s="66"/>
      <c r="T56" s="66"/>
    </row>
    <row r="57" spans="1:20" ht="27" customHeight="1">
      <c r="A57" s="190">
        <v>50</v>
      </c>
      <c r="B57" s="190">
        <v>362</v>
      </c>
      <c r="C57" s="190" t="s">
        <v>92</v>
      </c>
      <c r="D57" s="191">
        <v>5405</v>
      </c>
      <c r="E57" s="191">
        <v>217</v>
      </c>
      <c r="F57" s="83"/>
      <c r="G57" s="83"/>
      <c r="H57" s="82" t="s">
        <v>310</v>
      </c>
      <c r="I57" s="82" t="s">
        <v>315</v>
      </c>
      <c r="J57" s="84"/>
      <c r="K57" s="194"/>
      <c r="L57" s="84"/>
      <c r="M57" s="85"/>
      <c r="N57" s="65" t="str">
        <f t="shared" si="0"/>
        <v>도국</v>
      </c>
      <c r="O57" s="66" t="str">
        <f t="shared" si="1"/>
        <v>-</v>
      </c>
      <c r="P57" s="71"/>
      <c r="Q57" s="72"/>
      <c r="R57" s="66"/>
      <c r="S57" s="66"/>
      <c r="T57" s="66"/>
    </row>
    <row r="58" spans="1:20" ht="27" customHeight="1">
      <c r="A58" s="190">
        <v>51</v>
      </c>
      <c r="B58" s="190" t="s">
        <v>589</v>
      </c>
      <c r="C58" s="190" t="s">
        <v>586</v>
      </c>
      <c r="D58" s="191">
        <v>1876</v>
      </c>
      <c r="E58" s="191">
        <v>1876</v>
      </c>
      <c r="F58" s="83"/>
      <c r="G58" s="83"/>
      <c r="H58" s="82" t="s">
        <v>590</v>
      </c>
      <c r="I58" s="82">
        <v>242</v>
      </c>
      <c r="J58" s="84"/>
      <c r="K58" s="194"/>
      <c r="L58" s="84"/>
      <c r="M58" s="85"/>
      <c r="N58" s="65" t="str">
        <f t="shared" si="0"/>
        <v>주곽봉규</v>
      </c>
      <c r="O58" s="66" t="str">
        <f t="shared" si="1"/>
        <v>-</v>
      </c>
      <c r="P58" s="71"/>
      <c r="Q58" s="72"/>
      <c r="R58" s="66"/>
      <c r="S58" s="66"/>
      <c r="T58" s="66"/>
    </row>
    <row r="59" spans="1:20" ht="27" customHeight="1">
      <c r="A59" s="190">
        <v>52</v>
      </c>
      <c r="B59" s="190">
        <v>242</v>
      </c>
      <c r="C59" s="190" t="s">
        <v>586</v>
      </c>
      <c r="D59" s="191">
        <v>1110</v>
      </c>
      <c r="E59" s="191">
        <v>1110</v>
      </c>
      <c r="F59" s="83"/>
      <c r="G59" s="83"/>
      <c r="H59" s="82" t="s">
        <v>590</v>
      </c>
      <c r="I59" s="82">
        <v>242</v>
      </c>
      <c r="J59" s="84"/>
      <c r="K59" s="194"/>
      <c r="L59" s="84"/>
      <c r="M59" s="85"/>
      <c r="N59" s="65" t="str">
        <f t="shared" si="0"/>
        <v>주곽봉규</v>
      </c>
      <c r="O59" s="66" t="str">
        <f t="shared" si="1"/>
        <v>-</v>
      </c>
      <c r="P59" s="71"/>
      <c r="Q59" s="72"/>
      <c r="R59" s="66"/>
      <c r="S59" s="66"/>
      <c r="T59" s="66"/>
    </row>
    <row r="60" spans="1:20" ht="27" customHeight="1">
      <c r="A60" s="190"/>
      <c r="B60" s="190"/>
      <c r="C60" s="190"/>
      <c r="D60" s="191"/>
      <c r="E60" s="191"/>
      <c r="F60" s="83"/>
      <c r="G60" s="83"/>
      <c r="H60" s="82"/>
      <c r="I60" s="157"/>
      <c r="J60" s="84"/>
      <c r="K60" s="194"/>
      <c r="L60" s="84"/>
      <c r="M60" s="85"/>
      <c r="N60" s="65">
        <f t="shared" si="0"/>
      </c>
      <c r="O60" s="66" t="str">
        <f t="shared" si="1"/>
        <v>-</v>
      </c>
      <c r="P60" s="71"/>
      <c r="Q60" s="72"/>
      <c r="R60" s="66"/>
      <c r="S60" s="66"/>
      <c r="T60" s="66"/>
    </row>
    <row r="61" spans="1:20" ht="27" customHeight="1">
      <c r="A61" s="190"/>
      <c r="B61" s="190"/>
      <c r="C61" s="190"/>
      <c r="D61" s="191"/>
      <c r="E61" s="191"/>
      <c r="F61" s="83"/>
      <c r="G61" s="83"/>
      <c r="H61" s="82"/>
      <c r="I61" s="82"/>
      <c r="J61" s="84"/>
      <c r="K61" s="194"/>
      <c r="L61" s="84"/>
      <c r="M61" s="85"/>
      <c r="N61" s="65">
        <f t="shared" si="0"/>
      </c>
      <c r="O61" s="66" t="str">
        <f t="shared" si="1"/>
        <v>-</v>
      </c>
      <c r="P61" s="71"/>
      <c r="Q61" s="72"/>
      <c r="R61" s="66"/>
      <c r="S61" s="66"/>
      <c r="T61" s="66"/>
    </row>
    <row r="62" spans="1:20" ht="27" customHeight="1">
      <c r="A62" s="190"/>
      <c r="B62" s="190"/>
      <c r="C62" s="190"/>
      <c r="D62" s="191"/>
      <c r="E62" s="191"/>
      <c r="F62" s="83"/>
      <c r="G62" s="83"/>
      <c r="H62" s="82"/>
      <c r="I62" s="82"/>
      <c r="J62" s="84"/>
      <c r="K62" s="194"/>
      <c r="L62" s="84"/>
      <c r="M62" s="85"/>
      <c r="N62" s="65">
        <f t="shared" si="0"/>
      </c>
      <c r="O62" s="66" t="str">
        <f t="shared" si="1"/>
        <v>-</v>
      </c>
      <c r="P62" s="71"/>
      <c r="Q62" s="72"/>
      <c r="R62" s="66"/>
      <c r="S62" s="66"/>
      <c r="T62" s="66"/>
    </row>
    <row r="63" spans="1:20" ht="27" customHeight="1">
      <c r="A63" s="190"/>
      <c r="B63" s="190"/>
      <c r="C63" s="190"/>
      <c r="D63" s="191"/>
      <c r="E63" s="191"/>
      <c r="F63" s="83"/>
      <c r="G63" s="83"/>
      <c r="H63" s="82"/>
      <c r="I63" s="157"/>
      <c r="J63" s="84"/>
      <c r="K63" s="194"/>
      <c r="L63" s="84"/>
      <c r="M63" s="85"/>
      <c r="N63" s="65">
        <f t="shared" si="0"/>
      </c>
      <c r="O63" s="66" t="str">
        <f t="shared" si="1"/>
        <v>-</v>
      </c>
      <c r="P63" s="71"/>
      <c r="Q63" s="72"/>
      <c r="R63" s="66"/>
      <c r="S63" s="66"/>
      <c r="T63" s="66"/>
    </row>
    <row r="64" spans="1:20" ht="27" customHeight="1">
      <c r="A64" s="190"/>
      <c r="B64" s="190"/>
      <c r="C64" s="190"/>
      <c r="D64" s="191"/>
      <c r="E64" s="191"/>
      <c r="F64" s="83"/>
      <c r="G64" s="83"/>
      <c r="H64" s="82"/>
      <c r="I64" s="82"/>
      <c r="J64" s="84"/>
      <c r="K64" s="194"/>
      <c r="L64" s="84"/>
      <c r="M64" s="85"/>
      <c r="N64" s="65">
        <f t="shared" si="0"/>
      </c>
      <c r="O64" s="66" t="str">
        <f t="shared" si="1"/>
        <v>-</v>
      </c>
      <c r="P64" s="71"/>
      <c r="Q64" s="72"/>
      <c r="R64" s="66"/>
      <c r="S64" s="66"/>
      <c r="T64" s="67"/>
    </row>
    <row r="65" spans="1:20" ht="27" customHeight="1">
      <c r="A65" s="190"/>
      <c r="B65" s="190"/>
      <c r="C65" s="190"/>
      <c r="D65" s="191"/>
      <c r="E65" s="191"/>
      <c r="F65" s="83"/>
      <c r="G65" s="83"/>
      <c r="H65" s="82"/>
      <c r="I65" s="82"/>
      <c r="J65" s="84"/>
      <c r="K65" s="194"/>
      <c r="L65" s="84"/>
      <c r="M65" s="85"/>
      <c r="N65" s="65">
        <f t="shared" si="0"/>
      </c>
      <c r="O65" s="66" t="str">
        <f t="shared" si="1"/>
        <v>-</v>
      </c>
      <c r="P65" s="71"/>
      <c r="Q65" s="72"/>
      <c r="R65" s="66"/>
      <c r="S65" s="66"/>
      <c r="T65" s="67"/>
    </row>
    <row r="66" spans="1:23" ht="27" customHeight="1">
      <c r="A66" s="190"/>
      <c r="B66" s="190"/>
      <c r="C66" s="190"/>
      <c r="D66" s="191"/>
      <c r="E66" s="191"/>
      <c r="F66" s="83"/>
      <c r="G66" s="83"/>
      <c r="H66" s="82"/>
      <c r="I66" s="82"/>
      <c r="J66" s="84"/>
      <c r="K66" s="194"/>
      <c r="L66" s="84"/>
      <c r="M66" s="85"/>
      <c r="N66" s="65">
        <f t="shared" si="0"/>
      </c>
      <c r="O66" s="66" t="str">
        <f t="shared" si="1"/>
        <v>-</v>
      </c>
      <c r="P66" s="71"/>
      <c r="Q66" s="72"/>
      <c r="R66" s="66"/>
      <c r="S66" s="66"/>
      <c r="T66" s="68"/>
      <c r="U66" s="66"/>
      <c r="V66" s="66"/>
      <c r="W66" s="66"/>
    </row>
    <row r="67" spans="1:20" ht="27" customHeight="1">
      <c r="A67" s="190"/>
      <c r="B67" s="190"/>
      <c r="C67" s="190"/>
      <c r="D67" s="191"/>
      <c r="E67" s="191"/>
      <c r="F67" s="83"/>
      <c r="G67" s="83"/>
      <c r="H67" s="82"/>
      <c r="I67" s="82"/>
      <c r="J67" s="84"/>
      <c r="K67" s="194"/>
      <c r="L67" s="84"/>
      <c r="M67" s="85"/>
      <c r="N67" s="65">
        <f t="shared" si="0"/>
      </c>
      <c r="O67" s="66" t="str">
        <f t="shared" si="1"/>
        <v>-</v>
      </c>
      <c r="P67" s="71"/>
      <c r="Q67" s="72"/>
      <c r="R67" s="66"/>
      <c r="S67" s="66"/>
      <c r="T67" s="66"/>
    </row>
    <row r="68" spans="1:21" s="1" customFormat="1" ht="27" customHeight="1">
      <c r="A68" s="199" t="s">
        <v>37</v>
      </c>
      <c r="B68" s="200"/>
      <c r="C68" s="200"/>
      <c r="D68" s="201"/>
      <c r="E68" s="201">
        <f>SUM(E48:E67)</f>
        <v>4583</v>
      </c>
      <c r="F68" s="202"/>
      <c r="G68" s="202"/>
      <c r="H68" s="202"/>
      <c r="I68" s="202"/>
      <c r="J68" s="202"/>
      <c r="K68" s="202"/>
      <c r="L68" s="202"/>
      <c r="M68" s="202"/>
      <c r="N68" s="65">
        <f t="shared" si="0"/>
      </c>
      <c r="O68" s="66" t="str">
        <f t="shared" si="1"/>
        <v>ERR</v>
      </c>
      <c r="P68" s="2"/>
      <c r="Q68" s="2"/>
      <c r="R68" s="2">
        <f>IF(C68=Q68,0,2)</f>
        <v>0</v>
      </c>
      <c r="S68" s="2"/>
      <c r="T68" s="2"/>
      <c r="U68" s="2"/>
    </row>
    <row r="69" spans="1:20" ht="27" customHeight="1">
      <c r="A69" s="190"/>
      <c r="B69" s="190"/>
      <c r="C69" s="190"/>
      <c r="D69" s="191"/>
      <c r="E69" s="191"/>
      <c r="F69" s="83"/>
      <c r="G69" s="83"/>
      <c r="H69" s="82"/>
      <c r="I69" s="82"/>
      <c r="J69" s="84"/>
      <c r="K69" s="194"/>
      <c r="L69" s="84"/>
      <c r="M69" s="85"/>
      <c r="N69" s="65">
        <f t="shared" si="0"/>
      </c>
      <c r="O69" s="66" t="str">
        <f t="shared" si="1"/>
        <v>-</v>
      </c>
      <c r="P69" s="71" t="e">
        <f>VLOOKUP($B69,#REF!,6,FALSE)</f>
        <v>#REF!</v>
      </c>
      <c r="Q69" s="72"/>
      <c r="R69" s="66">
        <f aca="true" t="shared" si="5" ref="R69:R75">IF(C69=Q69,0,2)</f>
        <v>0</v>
      </c>
      <c r="S69" s="66"/>
      <c r="T69" s="66"/>
    </row>
    <row r="70" spans="1:20" ht="27" customHeight="1">
      <c r="A70" s="190"/>
      <c r="B70" s="190"/>
      <c r="C70" s="190"/>
      <c r="D70" s="191"/>
      <c r="E70" s="191"/>
      <c r="F70" s="83"/>
      <c r="G70" s="83"/>
      <c r="H70" s="82"/>
      <c r="I70" s="157"/>
      <c r="J70" s="84"/>
      <c r="K70" s="194"/>
      <c r="L70" s="84"/>
      <c r="M70" s="85"/>
      <c r="N70" s="65">
        <f aca="true" t="shared" si="6" ref="N70:N89">CONCATENATE(C70,H70)</f>
      </c>
      <c r="O70" s="66" t="str">
        <f aca="true" t="shared" si="7" ref="O70:O89">IF(D70&gt;=E70,"-","ERR")</f>
        <v>-</v>
      </c>
      <c r="P70" s="71" t="e">
        <f>VLOOKUP($B70,#REF!,6,FALSE)</f>
        <v>#REF!</v>
      </c>
      <c r="Q70" s="72"/>
      <c r="R70" s="66">
        <f t="shared" si="5"/>
        <v>0</v>
      </c>
      <c r="S70" s="66"/>
      <c r="T70" s="66"/>
    </row>
    <row r="71" spans="1:20" ht="27" customHeight="1">
      <c r="A71" s="190"/>
      <c r="B71" s="190"/>
      <c r="C71" s="190"/>
      <c r="D71" s="191"/>
      <c r="E71" s="191"/>
      <c r="F71" s="83"/>
      <c r="G71" s="83"/>
      <c r="H71" s="82"/>
      <c r="I71" s="82"/>
      <c r="J71" s="84"/>
      <c r="K71" s="84"/>
      <c r="L71" s="84"/>
      <c r="M71" s="85"/>
      <c r="N71" s="65">
        <f t="shared" si="6"/>
      </c>
      <c r="O71" s="66" t="str">
        <f t="shared" si="7"/>
        <v>-</v>
      </c>
      <c r="P71" s="71" t="e">
        <f>VLOOKUP($B71,#REF!,6,FALSE)</f>
        <v>#REF!</v>
      </c>
      <c r="Q71" s="72"/>
      <c r="R71" s="66">
        <f t="shared" si="5"/>
        <v>0</v>
      </c>
      <c r="S71" s="66"/>
      <c r="T71" s="66"/>
    </row>
    <row r="72" spans="1:20" ht="27" customHeight="1">
      <c r="A72" s="190"/>
      <c r="B72" s="190"/>
      <c r="C72" s="190"/>
      <c r="D72" s="191"/>
      <c r="E72" s="191"/>
      <c r="F72" s="83"/>
      <c r="G72" s="83"/>
      <c r="H72" s="82"/>
      <c r="I72" s="82"/>
      <c r="J72" s="84"/>
      <c r="K72" s="194"/>
      <c r="L72" s="84"/>
      <c r="M72" s="85"/>
      <c r="N72" s="65">
        <f t="shared" si="6"/>
      </c>
      <c r="O72" s="66" t="str">
        <f t="shared" si="7"/>
        <v>-</v>
      </c>
      <c r="P72" s="71" t="e">
        <f>VLOOKUP($B72,#REF!,6,FALSE)</f>
        <v>#REF!</v>
      </c>
      <c r="Q72" s="72"/>
      <c r="R72" s="66">
        <f t="shared" si="5"/>
        <v>0</v>
      </c>
      <c r="S72" s="66"/>
      <c r="T72" s="66"/>
    </row>
    <row r="73" spans="1:20" ht="27" customHeight="1">
      <c r="A73" s="190"/>
      <c r="B73" s="190"/>
      <c r="C73" s="190"/>
      <c r="D73" s="191"/>
      <c r="E73" s="191"/>
      <c r="F73" s="83"/>
      <c r="G73" s="83"/>
      <c r="H73" s="82"/>
      <c r="I73" s="82"/>
      <c r="J73" s="84"/>
      <c r="K73" s="194"/>
      <c r="L73" s="84"/>
      <c r="M73" s="85"/>
      <c r="N73" s="65">
        <f t="shared" si="6"/>
      </c>
      <c r="O73" s="66" t="str">
        <f t="shared" si="7"/>
        <v>-</v>
      </c>
      <c r="P73" s="71" t="e">
        <f>VLOOKUP($B73,#REF!,6,FALSE)</f>
        <v>#REF!</v>
      </c>
      <c r="Q73" s="72"/>
      <c r="R73" s="66">
        <f t="shared" si="5"/>
        <v>0</v>
      </c>
      <c r="S73" s="66"/>
      <c r="T73" s="66"/>
    </row>
    <row r="74" spans="1:20" ht="27" customHeight="1">
      <c r="A74" s="190"/>
      <c r="B74" s="190"/>
      <c r="C74" s="190"/>
      <c r="D74" s="191"/>
      <c r="E74" s="191"/>
      <c r="F74" s="83"/>
      <c r="G74" s="83"/>
      <c r="H74" s="82"/>
      <c r="I74" s="157"/>
      <c r="J74" s="84"/>
      <c r="K74" s="194"/>
      <c r="L74" s="84"/>
      <c r="M74" s="85"/>
      <c r="N74" s="65">
        <f t="shared" si="6"/>
      </c>
      <c r="O74" s="66" t="str">
        <f t="shared" si="7"/>
        <v>-</v>
      </c>
      <c r="P74" s="71" t="e">
        <f>VLOOKUP($B74,#REF!,6,FALSE)</f>
        <v>#REF!</v>
      </c>
      <c r="Q74" s="72"/>
      <c r="R74" s="66">
        <f t="shared" si="5"/>
        <v>0</v>
      </c>
      <c r="S74" s="66"/>
      <c r="T74" s="66"/>
    </row>
    <row r="75" spans="1:20" ht="27" customHeight="1">
      <c r="A75" s="190"/>
      <c r="B75" s="190"/>
      <c r="C75" s="190"/>
      <c r="D75" s="191"/>
      <c r="E75" s="191"/>
      <c r="F75" s="83"/>
      <c r="G75" s="83"/>
      <c r="H75" s="82"/>
      <c r="I75" s="82"/>
      <c r="J75" s="84"/>
      <c r="K75" s="84"/>
      <c r="L75" s="84"/>
      <c r="M75" s="85"/>
      <c r="N75" s="65">
        <f t="shared" si="6"/>
      </c>
      <c r="O75" s="66" t="str">
        <f t="shared" si="7"/>
        <v>-</v>
      </c>
      <c r="P75" s="71"/>
      <c r="Q75" s="72"/>
      <c r="R75" s="66">
        <f t="shared" si="5"/>
        <v>0</v>
      </c>
      <c r="S75" s="66"/>
      <c r="T75" s="66"/>
    </row>
    <row r="76" spans="1:20" ht="27" customHeight="1">
      <c r="A76" s="80"/>
      <c r="B76" s="86"/>
      <c r="C76" s="82"/>
      <c r="D76" s="82"/>
      <c r="E76" s="83"/>
      <c r="F76" s="83"/>
      <c r="G76" s="83"/>
      <c r="H76" s="82"/>
      <c r="I76" s="82"/>
      <c r="J76" s="84"/>
      <c r="K76" s="84"/>
      <c r="L76" s="84"/>
      <c r="M76" s="85"/>
      <c r="N76" s="65">
        <f t="shared" si="6"/>
      </c>
      <c r="O76" s="66" t="str">
        <f t="shared" si="7"/>
        <v>-</v>
      </c>
      <c r="P76" s="71"/>
      <c r="Q76" s="72"/>
      <c r="R76" s="66"/>
      <c r="S76" s="66"/>
      <c r="T76" s="66"/>
    </row>
    <row r="77" spans="1:20" ht="27" customHeight="1">
      <c r="A77" s="80"/>
      <c r="B77" s="86"/>
      <c r="C77" s="82"/>
      <c r="D77" s="82"/>
      <c r="E77" s="83"/>
      <c r="F77" s="83"/>
      <c r="G77" s="83"/>
      <c r="H77" s="82"/>
      <c r="I77" s="82"/>
      <c r="J77" s="84"/>
      <c r="K77" s="84"/>
      <c r="L77" s="84"/>
      <c r="M77" s="85"/>
      <c r="N77" s="65">
        <f t="shared" si="6"/>
      </c>
      <c r="O77" s="66" t="str">
        <f t="shared" si="7"/>
        <v>-</v>
      </c>
      <c r="P77" s="71"/>
      <c r="Q77" s="72"/>
      <c r="R77" s="66"/>
      <c r="S77" s="66"/>
      <c r="T77" s="66"/>
    </row>
    <row r="78" spans="1:20" ht="27" customHeight="1">
      <c r="A78" s="80"/>
      <c r="B78" s="86"/>
      <c r="C78" s="82"/>
      <c r="D78" s="82"/>
      <c r="E78" s="83"/>
      <c r="F78" s="83"/>
      <c r="G78" s="83"/>
      <c r="H78" s="82"/>
      <c r="I78" s="82"/>
      <c r="J78" s="84"/>
      <c r="K78" s="84"/>
      <c r="L78" s="84"/>
      <c r="M78" s="85"/>
      <c r="N78" s="65">
        <f t="shared" si="6"/>
      </c>
      <c r="O78" s="66" t="str">
        <f t="shared" si="7"/>
        <v>-</v>
      </c>
      <c r="P78" s="71"/>
      <c r="Q78" s="72"/>
      <c r="R78" s="66"/>
      <c r="S78" s="66"/>
      <c r="T78" s="66"/>
    </row>
    <row r="79" spans="1:20" ht="27" customHeight="1">
      <c r="A79" s="80"/>
      <c r="B79" s="86"/>
      <c r="C79" s="82"/>
      <c r="D79" s="82"/>
      <c r="E79" s="83"/>
      <c r="F79" s="83"/>
      <c r="G79" s="83"/>
      <c r="H79" s="82"/>
      <c r="I79" s="82"/>
      <c r="J79" s="84"/>
      <c r="K79" s="84"/>
      <c r="L79" s="84"/>
      <c r="M79" s="85"/>
      <c r="N79" s="65">
        <f t="shared" si="6"/>
      </c>
      <c r="O79" s="66" t="str">
        <f t="shared" si="7"/>
        <v>-</v>
      </c>
      <c r="P79" s="71"/>
      <c r="Q79" s="72"/>
      <c r="R79" s="66"/>
      <c r="S79" s="66"/>
      <c r="T79" s="66"/>
    </row>
    <row r="80" spans="1:20" ht="27" customHeight="1">
      <c r="A80" s="80"/>
      <c r="B80" s="86"/>
      <c r="C80" s="82"/>
      <c r="D80" s="82"/>
      <c r="E80" s="83"/>
      <c r="F80" s="83"/>
      <c r="G80" s="83"/>
      <c r="H80" s="82"/>
      <c r="I80" s="82"/>
      <c r="J80" s="84"/>
      <c r="K80" s="84"/>
      <c r="L80" s="84"/>
      <c r="M80" s="85"/>
      <c r="N80" s="65">
        <f t="shared" si="6"/>
      </c>
      <c r="O80" s="66" t="str">
        <f t="shared" si="7"/>
        <v>-</v>
      </c>
      <c r="P80" s="71"/>
      <c r="Q80" s="72"/>
      <c r="R80" s="66"/>
      <c r="S80" s="66"/>
      <c r="T80" s="66"/>
    </row>
    <row r="81" spans="1:20" ht="27" customHeight="1">
      <c r="A81" s="80"/>
      <c r="B81" s="86"/>
      <c r="C81" s="82"/>
      <c r="D81" s="82"/>
      <c r="E81" s="83"/>
      <c r="F81" s="83"/>
      <c r="G81" s="83"/>
      <c r="H81" s="82"/>
      <c r="I81" s="82"/>
      <c r="J81" s="84"/>
      <c r="K81" s="84"/>
      <c r="L81" s="84"/>
      <c r="M81" s="85"/>
      <c r="N81" s="65">
        <f t="shared" si="6"/>
      </c>
      <c r="O81" s="66" t="str">
        <f t="shared" si="7"/>
        <v>-</v>
      </c>
      <c r="P81" s="71"/>
      <c r="Q81" s="72"/>
      <c r="R81" s="66"/>
      <c r="S81" s="66"/>
      <c r="T81" s="66"/>
    </row>
    <row r="82" spans="1:20" ht="27" customHeight="1">
      <c r="A82" s="80"/>
      <c r="B82" s="86"/>
      <c r="C82" s="82"/>
      <c r="D82" s="82"/>
      <c r="E82" s="83"/>
      <c r="F82" s="83"/>
      <c r="G82" s="83"/>
      <c r="H82" s="82"/>
      <c r="I82" s="82"/>
      <c r="J82" s="84"/>
      <c r="K82" s="84"/>
      <c r="L82" s="84"/>
      <c r="M82" s="85"/>
      <c r="N82" s="65">
        <f t="shared" si="6"/>
      </c>
      <c r="O82" s="66" t="str">
        <f t="shared" si="7"/>
        <v>-</v>
      </c>
      <c r="P82" s="71"/>
      <c r="Q82" s="72"/>
      <c r="R82" s="66"/>
      <c r="S82" s="66"/>
      <c r="T82" s="66"/>
    </row>
    <row r="83" spans="1:20" ht="27" customHeight="1">
      <c r="A83" s="80"/>
      <c r="B83" s="81"/>
      <c r="C83" s="82"/>
      <c r="D83" s="82"/>
      <c r="E83" s="83"/>
      <c r="F83" s="83"/>
      <c r="G83" s="83"/>
      <c r="H83" s="82"/>
      <c r="I83" s="82"/>
      <c r="J83" s="84"/>
      <c r="K83" s="84"/>
      <c r="L83" s="84"/>
      <c r="M83" s="85"/>
      <c r="N83" s="65">
        <f t="shared" si="6"/>
      </c>
      <c r="O83" s="66" t="str">
        <f t="shared" si="7"/>
        <v>-</v>
      </c>
      <c r="P83" s="71"/>
      <c r="Q83" s="72"/>
      <c r="R83" s="66"/>
      <c r="S83" s="66"/>
      <c r="T83" s="66"/>
    </row>
    <row r="84" spans="1:20" ht="27" customHeight="1">
      <c r="A84" s="80"/>
      <c r="B84" s="86"/>
      <c r="C84" s="82"/>
      <c r="D84" s="82"/>
      <c r="E84" s="83"/>
      <c r="F84" s="83"/>
      <c r="G84" s="83"/>
      <c r="H84" s="82"/>
      <c r="I84" s="82"/>
      <c r="J84" s="84"/>
      <c r="K84" s="84"/>
      <c r="L84" s="84"/>
      <c r="M84" s="85"/>
      <c r="N84" s="65">
        <f t="shared" si="6"/>
      </c>
      <c r="O84" s="66" t="str">
        <f t="shared" si="7"/>
        <v>-</v>
      </c>
      <c r="P84" s="71"/>
      <c r="Q84" s="72"/>
      <c r="R84" s="66"/>
      <c r="S84" s="66"/>
      <c r="T84" s="66"/>
    </row>
    <row r="85" spans="1:20" ht="27" customHeight="1">
      <c r="A85" s="80"/>
      <c r="B85" s="86"/>
      <c r="C85" s="82"/>
      <c r="D85" s="82"/>
      <c r="E85" s="83"/>
      <c r="F85" s="83"/>
      <c r="G85" s="83"/>
      <c r="H85" s="82"/>
      <c r="I85" s="82"/>
      <c r="J85" s="84"/>
      <c r="K85" s="84"/>
      <c r="L85" s="84"/>
      <c r="M85" s="85"/>
      <c r="N85" s="65">
        <f t="shared" si="6"/>
      </c>
      <c r="O85" s="66" t="str">
        <f t="shared" si="7"/>
        <v>-</v>
      </c>
      <c r="P85" s="71"/>
      <c r="Q85" s="72"/>
      <c r="R85" s="66"/>
      <c r="S85" s="66"/>
      <c r="T85" s="67"/>
    </row>
    <row r="86" spans="1:20" ht="27" customHeight="1">
      <c r="A86" s="80"/>
      <c r="B86" s="86"/>
      <c r="C86" s="82"/>
      <c r="D86" s="82"/>
      <c r="E86" s="83"/>
      <c r="F86" s="83"/>
      <c r="G86" s="83"/>
      <c r="H86" s="82"/>
      <c r="I86" s="82"/>
      <c r="J86" s="84"/>
      <c r="K86" s="84"/>
      <c r="L86" s="84"/>
      <c r="M86" s="85"/>
      <c r="N86" s="65">
        <f t="shared" si="6"/>
      </c>
      <c r="O86" s="66" t="str">
        <f t="shared" si="7"/>
        <v>-</v>
      </c>
      <c r="P86" s="71"/>
      <c r="Q86" s="72"/>
      <c r="R86" s="66"/>
      <c r="S86" s="66"/>
      <c r="T86" s="67"/>
    </row>
    <row r="87" spans="1:23" ht="27" customHeight="1">
      <c r="A87" s="80"/>
      <c r="B87" s="86"/>
      <c r="C87" s="82"/>
      <c r="D87" s="82"/>
      <c r="E87" s="83"/>
      <c r="F87" s="83"/>
      <c r="G87" s="83"/>
      <c r="H87" s="82"/>
      <c r="I87" s="82"/>
      <c r="J87" s="84"/>
      <c r="K87" s="84"/>
      <c r="L87" s="84"/>
      <c r="M87" s="85"/>
      <c r="N87" s="65">
        <f t="shared" si="6"/>
      </c>
      <c r="O87" s="66" t="str">
        <f t="shared" si="7"/>
        <v>-</v>
      </c>
      <c r="P87" s="71"/>
      <c r="Q87" s="72"/>
      <c r="R87" s="66"/>
      <c r="S87" s="66"/>
      <c r="T87" s="68"/>
      <c r="U87" s="66"/>
      <c r="V87" s="66"/>
      <c r="W87" s="66"/>
    </row>
    <row r="88" spans="1:20" ht="27" customHeight="1" thickBot="1">
      <c r="A88" s="148"/>
      <c r="B88" s="158"/>
      <c r="C88" s="149"/>
      <c r="D88" s="149"/>
      <c r="E88" s="150"/>
      <c r="F88" s="150"/>
      <c r="G88" s="150"/>
      <c r="H88" s="149"/>
      <c r="I88" s="149"/>
      <c r="J88" s="151"/>
      <c r="K88" s="151"/>
      <c r="L88" s="151"/>
      <c r="M88" s="159"/>
      <c r="N88" s="65">
        <f t="shared" si="6"/>
      </c>
      <c r="O88" s="66" t="str">
        <f t="shared" si="7"/>
        <v>-</v>
      </c>
      <c r="P88" s="71"/>
      <c r="Q88" s="72"/>
      <c r="R88" s="66"/>
      <c r="S88" s="66"/>
      <c r="T88" s="66"/>
    </row>
    <row r="89" spans="1:21" s="1" customFormat="1" ht="27" customHeight="1" thickTop="1">
      <c r="A89" s="160" t="s">
        <v>37</v>
      </c>
      <c r="B89" s="161"/>
      <c r="C89" s="161"/>
      <c r="D89" s="162"/>
      <c r="E89" s="162">
        <f>SUM(E69:E88)</f>
        <v>0</v>
      </c>
      <c r="F89" s="163"/>
      <c r="G89" s="163"/>
      <c r="H89" s="163"/>
      <c r="I89" s="163"/>
      <c r="J89" s="163"/>
      <c r="K89" s="163"/>
      <c r="L89" s="163"/>
      <c r="M89" s="163"/>
      <c r="N89" s="65">
        <f t="shared" si="6"/>
      </c>
      <c r="O89" s="66" t="str">
        <f t="shared" si="7"/>
        <v>-</v>
      </c>
      <c r="P89" s="2"/>
      <c r="Q89" s="2"/>
      <c r="R89" s="2">
        <f>IF(C89=Q89,0,2)</f>
        <v>0</v>
      </c>
      <c r="S89" s="2"/>
      <c r="T89" s="2"/>
      <c r="U89" s="2"/>
    </row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6">
    <mergeCell ref="A1:M1"/>
    <mergeCell ref="K2:M2"/>
    <mergeCell ref="B4:B5"/>
    <mergeCell ref="C4:C5"/>
    <mergeCell ref="H4:I4"/>
    <mergeCell ref="M4:M5"/>
  </mergeCells>
  <printOptions horizontalCentered="1" verticalCentered="1"/>
  <pageMargins left="0.1968503937007874" right="0.1968503937007874" top="1.1811023622047245" bottom="0.69" header="0.5905511811023623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이중훈</Manager>
  <Company>청석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도로조서</dc:title>
  <dc:subject/>
  <dc:creator>이중훈</dc:creator>
  <cp:keywords/>
  <dc:description/>
  <cp:lastModifiedBy>user</cp:lastModifiedBy>
  <cp:lastPrinted>2013-05-10T14:02:45Z</cp:lastPrinted>
  <dcterms:created xsi:type="dcterms:W3CDTF">2002-09-08T05:27:19Z</dcterms:created>
  <dcterms:modified xsi:type="dcterms:W3CDTF">2013-09-16T05:26:32Z</dcterms:modified>
  <cp:category/>
  <cp:version/>
  <cp:contentType/>
  <cp:contentStatus/>
</cp:coreProperties>
</file>