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1760" windowHeight="9120" firstSheet="1" activeTab="1"/>
  </bookViews>
  <sheets>
    <sheet name="표지" sheetId="2" state="hidden" r:id="rId1"/>
    <sheet name="총괄" sheetId="11" r:id="rId2"/>
    <sheet name="세입예산" sheetId="5" state="hidden" r:id="rId3"/>
    <sheet name="세출예산" sheetId="10" state="hidden" r:id="rId4"/>
    <sheet name="보수일람표" sheetId="12" state="hidden" r:id="rId5"/>
    <sheet name="총인건비" sheetId="7" state="hidden" r:id="rId6"/>
  </sheets>
  <definedNames>
    <definedName name="_xlnm.Print_Area" localSheetId="4">'보수일람표'!$A$1:$N$44</definedName>
    <definedName name="_xlnm.Print_Area" localSheetId="2">'세입예산'!$A$1:$X$104</definedName>
    <definedName name="_xlnm.Print_Area" localSheetId="3">'세출예산'!$A$1:$X$349</definedName>
    <definedName name="_xlnm.Print_Area" localSheetId="1">'총괄'!$A$1:$N$67</definedName>
    <definedName name="_xlnm.Print_Area" localSheetId="5">'총인건비'!$A$2:$O$75</definedName>
    <definedName name="_xlnm.Print_Titles" localSheetId="1">'총괄'!$1:$5</definedName>
    <definedName name="_xlnm.Print_Titles" localSheetId="2">'세입예산'!$3:$3</definedName>
    <definedName name="_xlnm.Print_Titles" localSheetId="3">'세출예산'!$3:$3</definedName>
    <definedName name="_xlnm.Print_Titles" localSheetId="4">'보수일람표'!$5:$6</definedName>
  </definedNames>
  <calcPr calcId="125725"/>
</workbook>
</file>

<file path=xl/sharedStrings.xml><?xml version="1.0" encoding="utf-8"?>
<sst xmlns="http://schemas.openxmlformats.org/spreadsheetml/2006/main" count="1688" uniqueCount="739">
  <si>
    <t>관</t>
  </si>
  <si>
    <t>항</t>
  </si>
  <si>
    <t>목</t>
  </si>
  <si>
    <t>×</t>
  </si>
  <si>
    <t>＝</t>
  </si>
  <si>
    <t>명</t>
  </si>
  <si>
    <t>월</t>
  </si>
  <si>
    <t>회</t>
  </si>
  <si>
    <t>시간</t>
  </si>
  <si>
    <t>=</t>
  </si>
  <si>
    <t>13.운영비</t>
  </si>
  <si>
    <t>133.공공요금</t>
  </si>
  <si>
    <t>135.차량비</t>
  </si>
  <si>
    <t>213.시설장비유지비</t>
  </si>
  <si>
    <t>311.생계비</t>
  </si>
  <si>
    <t>313.피복비</t>
  </si>
  <si>
    <t>319.연료비</t>
  </si>
  <si>
    <t>71.잡지출</t>
  </si>
  <si>
    <t>711.잡지출</t>
  </si>
  <si>
    <t>11.입소비용수입</t>
  </si>
  <si>
    <t>111.입소비용수입</t>
  </si>
  <si>
    <t>/</t>
  </si>
  <si>
    <t>209</t>
  </si>
  <si>
    <t>134.제세공과금</t>
  </si>
  <si>
    <t>314.의료비</t>
  </si>
  <si>
    <t>330.기타교육비</t>
  </si>
  <si>
    <t>324.교통비</t>
  </si>
  <si>
    <t>327.수학여행비</t>
  </si>
  <si>
    <t>피복비</t>
  </si>
  <si>
    <t>김춘희</t>
  </si>
  <si>
    <t>세목</t>
  </si>
  <si>
    <t>예  산  산  출  내  역</t>
  </si>
  <si>
    <t>1111. 입소비용수입</t>
  </si>
  <si>
    <t>41.경상보조금수입</t>
  </si>
  <si>
    <t>411.경상보조금수입</t>
  </si>
  <si>
    <t>총         계</t>
  </si>
  <si>
    <t>구</t>
  </si>
  <si>
    <t>=</t>
  </si>
  <si>
    <t>동내의</t>
  </si>
  <si>
    <t>회</t>
  </si>
  <si>
    <t>412.자본보조금수입</t>
  </si>
  <si>
    <t>4121.자본보조금수입</t>
  </si>
  <si>
    <t>4131.기타보조금수입</t>
  </si>
  <si>
    <t>해당사항 없음</t>
  </si>
  <si>
    <t>01.입소자부담금</t>
  </si>
  <si>
    <t>04.경상보조금수입</t>
  </si>
  <si>
    <t>05.후원금수입</t>
  </si>
  <si>
    <t>51.후원금수입</t>
  </si>
  <si>
    <t>511.지정후원금</t>
  </si>
  <si>
    <t>5111.지정후원금</t>
  </si>
  <si>
    <t>512.비지정후원금</t>
  </si>
  <si>
    <t>5121.비지정후원금</t>
  </si>
  <si>
    <t>08.전입금</t>
  </si>
  <si>
    <t>81.전입금</t>
  </si>
  <si>
    <t>811.법인전입금</t>
  </si>
  <si>
    <t>8111.법인전입금</t>
  </si>
  <si>
    <t>09.이월금</t>
  </si>
  <si>
    <t>91.이월금</t>
  </si>
  <si>
    <t>911.전년도이월금</t>
  </si>
  <si>
    <t>9111.전년도이월금</t>
  </si>
  <si>
    <t>9112.지정후원이월금</t>
  </si>
  <si>
    <t>9113.비지정후원이월금</t>
  </si>
  <si>
    <t>07.차입금</t>
  </si>
  <si>
    <t>71.차입금</t>
  </si>
  <si>
    <t>7111.금융기관차입금</t>
  </si>
  <si>
    <t>7112.기타차입금</t>
  </si>
  <si>
    <t>711.금융기관차입금</t>
  </si>
  <si>
    <t>712.기타차입금</t>
  </si>
  <si>
    <t>10.잡수익</t>
  </si>
  <si>
    <t>101.잡수익</t>
  </si>
  <si>
    <t>1011.불용품매각대</t>
  </si>
  <si>
    <t>10111.불용품매각대</t>
  </si>
  <si>
    <t>1012.기타예금이자수입</t>
  </si>
  <si>
    <t>1013.기타잡수입</t>
  </si>
  <si>
    <t>10121.기타예금이자수입</t>
  </si>
  <si>
    <t>01.사무비</t>
  </si>
  <si>
    <t>11.인건비</t>
  </si>
  <si>
    <t>111.급여</t>
  </si>
  <si>
    <t>1111.급여</t>
  </si>
  <si>
    <t>112.상여금</t>
  </si>
  <si>
    <t>1121.명절휴가비</t>
  </si>
  <si>
    <t>113.일용잡금</t>
  </si>
  <si>
    <t>114.제 수 당</t>
  </si>
  <si>
    <t>1141.연장근로수당</t>
  </si>
  <si>
    <t>1142.가족수당</t>
  </si>
  <si>
    <t>1143.장려수당</t>
  </si>
  <si>
    <t>1144.자격수당</t>
  </si>
  <si>
    <t>1151.퇴직적립금</t>
  </si>
  <si>
    <t>115.퇴직금및퇴직적립금</t>
  </si>
  <si>
    <t>116.사회보험부담비용</t>
  </si>
  <si>
    <t>1161.국민건강보험</t>
  </si>
  <si>
    <t>1162.장기요양보험</t>
  </si>
  <si>
    <t>1163.국민연금</t>
  </si>
  <si>
    <t>1164.고용보험</t>
  </si>
  <si>
    <t>1165.산재보험</t>
  </si>
  <si>
    <t>117.기타후생경비</t>
  </si>
  <si>
    <t>12.업무추진비</t>
  </si>
  <si>
    <t>121.기관운영비</t>
  </si>
  <si>
    <t>1211.기관운영비</t>
  </si>
  <si>
    <t>131.여 비</t>
  </si>
  <si>
    <t>1311.여 비</t>
  </si>
  <si>
    <t>132.수용비및수수료</t>
  </si>
  <si>
    <t>1321.수용비및수수료</t>
  </si>
  <si>
    <t>1331.공공요금</t>
  </si>
  <si>
    <t>1341.제세공과금</t>
  </si>
  <si>
    <t>1351.차량유지비</t>
  </si>
  <si>
    <t>211.시설비</t>
  </si>
  <si>
    <t>2111.시설비</t>
  </si>
  <si>
    <t>212.자산취득비</t>
  </si>
  <si>
    <t>2121.자산취득비</t>
  </si>
  <si>
    <t>2131.시설장비유지비</t>
  </si>
  <si>
    <t>3111.주.부식비</t>
  </si>
  <si>
    <t>312. 수용기관경비</t>
  </si>
  <si>
    <t>3121.수용기관경비</t>
  </si>
  <si>
    <t>3131.피복비</t>
  </si>
  <si>
    <t>3141.의료비</t>
  </si>
  <si>
    <t>3151.장의비</t>
  </si>
  <si>
    <t>315. 장의비</t>
  </si>
  <si>
    <t>316.직업재활비</t>
  </si>
  <si>
    <t>3161.직업재활비</t>
  </si>
  <si>
    <t>317.자활사업비</t>
  </si>
  <si>
    <t>3171.자활사업비</t>
  </si>
  <si>
    <t>318.특별급식비</t>
  </si>
  <si>
    <t>3181.특별급식비</t>
  </si>
  <si>
    <t>3191.난방연료비</t>
  </si>
  <si>
    <t>1171.기타후생경비</t>
  </si>
  <si>
    <t>1361.기타운영비</t>
  </si>
  <si>
    <t>2122.비 품 비</t>
  </si>
  <si>
    <t>구</t>
  </si>
  <si>
    <t>3221.학용품비</t>
  </si>
  <si>
    <t>323.도서구입비</t>
  </si>
  <si>
    <t>3231.도서구입비</t>
  </si>
  <si>
    <t>3241.교통비</t>
  </si>
  <si>
    <t>3271.수학여행비</t>
  </si>
  <si>
    <t>3301.기타교육비</t>
  </si>
  <si>
    <t>06.부채상환금</t>
  </si>
  <si>
    <t>07.잡지출</t>
  </si>
  <si>
    <t>7111.잡지출</t>
  </si>
  <si>
    <t>10132. 직원식대</t>
  </si>
  <si>
    <t>81.예비비</t>
  </si>
  <si>
    <t>811.예비비</t>
  </si>
  <si>
    <t>8111.예비비</t>
  </si>
  <si>
    <t>10131.기타잡수입</t>
  </si>
  <si>
    <t>예비비</t>
  </si>
  <si>
    <t>413.기타보조금수입</t>
  </si>
  <si>
    <t>03.사업비</t>
  </si>
  <si>
    <t>02.재산   조정비</t>
  </si>
  <si>
    <t>21.시설비</t>
  </si>
  <si>
    <t>06.부채   상환금</t>
  </si>
  <si>
    <t>61.부채     상환금</t>
  </si>
  <si>
    <t>32.교육비</t>
  </si>
  <si>
    <t>총   계</t>
  </si>
  <si>
    <t>01.입소자부담금수입</t>
  </si>
  <si>
    <t>01.사무비</t>
  </si>
  <si>
    <t>입소자부담금수입</t>
  </si>
  <si>
    <t>인건비</t>
  </si>
  <si>
    <t>급여</t>
  </si>
  <si>
    <t>04.보조금수입</t>
  </si>
  <si>
    <t>상여금</t>
  </si>
  <si>
    <t>보조금수입</t>
  </si>
  <si>
    <t>경상보조금수입</t>
  </si>
  <si>
    <t>제수당</t>
  </si>
  <si>
    <t>퇴직금및퇴직적립금</t>
  </si>
  <si>
    <t>사회보험부담비용</t>
  </si>
  <si>
    <t>05.후원금수입</t>
  </si>
  <si>
    <t>기타후생경비</t>
  </si>
  <si>
    <t>후원금수입</t>
  </si>
  <si>
    <t>업무추진비</t>
  </si>
  <si>
    <t>지정후원금</t>
  </si>
  <si>
    <t>기관운영비</t>
  </si>
  <si>
    <t>비지정후원금</t>
  </si>
  <si>
    <t>회의비</t>
  </si>
  <si>
    <t>운영비</t>
  </si>
  <si>
    <t>여 비</t>
  </si>
  <si>
    <t>수용비및수수료</t>
  </si>
  <si>
    <t>08.전입금</t>
  </si>
  <si>
    <t>공공요금</t>
  </si>
  <si>
    <t>전입금</t>
  </si>
  <si>
    <t>제세공과금</t>
  </si>
  <si>
    <t>법인전입금</t>
  </si>
  <si>
    <t>차량비</t>
  </si>
  <si>
    <t>09.이월금</t>
  </si>
  <si>
    <t>이월금</t>
  </si>
  <si>
    <t>시설비</t>
  </si>
  <si>
    <t>전년도이월금</t>
  </si>
  <si>
    <t>자산취득비</t>
  </si>
  <si>
    <t>10.잡수익</t>
  </si>
  <si>
    <t>시설장비유지비</t>
  </si>
  <si>
    <t>잡수익</t>
  </si>
  <si>
    <t>불용품매각대</t>
  </si>
  <si>
    <t>사업비</t>
  </si>
  <si>
    <t>기타예금이자수입</t>
  </si>
  <si>
    <t>생계비</t>
  </si>
  <si>
    <t>기타잡수입</t>
  </si>
  <si>
    <t>수용기관경비</t>
  </si>
  <si>
    <t>의료비</t>
  </si>
  <si>
    <t>장의비</t>
  </si>
  <si>
    <t>직업재활비</t>
  </si>
  <si>
    <t>자활사업비</t>
  </si>
  <si>
    <t>특별급식비</t>
  </si>
  <si>
    <t>연료비</t>
  </si>
  <si>
    <t>교육비</t>
  </si>
  <si>
    <t>학용품비</t>
  </si>
  <si>
    <t>도서구입비</t>
  </si>
  <si>
    <t>교통비</t>
  </si>
  <si>
    <t>수학여행비</t>
  </si>
  <si>
    <t>기타교육비</t>
  </si>
  <si>
    <t>의료재활사업비</t>
  </si>
  <si>
    <t>사회심리재활사업비</t>
  </si>
  <si>
    <t>교육재활사업비</t>
  </si>
  <si>
    <t>직업재활사업비</t>
  </si>
  <si>
    <t>지역사회자원관리사업비</t>
  </si>
  <si>
    <t>부채상환금</t>
  </si>
  <si>
    <t>원금상환금</t>
  </si>
  <si>
    <t>이자지불금</t>
  </si>
  <si>
    <t>잡지출</t>
  </si>
  <si>
    <t>예비비</t>
  </si>
  <si>
    <t>921.이월사업비</t>
  </si>
  <si>
    <t>9211.이월사업비</t>
  </si>
  <si>
    <t>(단위 : 원)</t>
  </si>
  <si>
    <t>순위</t>
  </si>
  <si>
    <t>상여금</t>
  </si>
  <si>
    <t>제수당</t>
  </si>
  <si>
    <t>본봉(A)</t>
  </si>
  <si>
    <t>수당(B)</t>
  </si>
  <si>
    <t>계                    (C=A+B)</t>
  </si>
  <si>
    <t>공제액(D)</t>
  </si>
  <si>
    <t>신규</t>
  </si>
  <si>
    <t>성  명</t>
  </si>
  <si>
    <t>증감</t>
  </si>
  <si>
    <t>1145.직책보조수당</t>
  </si>
  <si>
    <t>월</t>
  </si>
  <si>
    <t>122.회의비</t>
  </si>
  <si>
    <t>1221.회 의 비</t>
  </si>
  <si>
    <t>05.보조금반환</t>
  </si>
  <si>
    <t>51.보조금반환</t>
  </si>
  <si>
    <t>511.보조금반환</t>
  </si>
  <si>
    <t>5111.보조금반환</t>
  </si>
  <si>
    <t>05.보조금반환</t>
  </si>
  <si>
    <t>보조금반환</t>
  </si>
  <si>
    <t>보조금반환</t>
  </si>
  <si>
    <t>박세혁</t>
  </si>
  <si>
    <t>전상현</t>
  </si>
  <si>
    <t>김극진</t>
  </si>
  <si>
    <t>김봉란</t>
  </si>
  <si>
    <t>엘 림 소 망 의 집</t>
  </si>
  <si>
    <t>3113.취사연료비</t>
  </si>
  <si>
    <t>3112.특별위로비</t>
  </si>
  <si>
    <t>4111.인건비</t>
  </si>
  <si>
    <t>4112.관리운영비</t>
  </si>
  <si>
    <t>4113.장의비</t>
  </si>
  <si>
    <t>4114.생계비</t>
  </si>
  <si>
    <t>4115.피복비</t>
  </si>
  <si>
    <t>4116.특별위로비</t>
  </si>
  <si>
    <t>4117.월동대책비</t>
  </si>
  <si>
    <t>4118.특별부식비</t>
  </si>
  <si>
    <t>4119.월동김장비</t>
  </si>
  <si>
    <t>411a.캠프활동지원비</t>
  </si>
  <si>
    <t>411b.의료비</t>
  </si>
  <si>
    <t>411c.직책보조수당</t>
  </si>
  <si>
    <t>411d.건강검진비</t>
  </si>
  <si>
    <t>411e.틀별난방비</t>
  </si>
  <si>
    <t>6111.원금상환금</t>
  </si>
  <si>
    <t>6121.이자지불금</t>
  </si>
  <si>
    <t>611.원금상환금</t>
  </si>
  <si>
    <t>612.이자지불금</t>
  </si>
  <si>
    <t>엘림소망의집</t>
  </si>
  <si>
    <t>04.경상보조금수입</t>
  </si>
  <si>
    <t>41.경상보조금수입</t>
  </si>
  <si>
    <t>김계주</t>
  </si>
  <si>
    <t>이원영</t>
  </si>
  <si>
    <t>김세현</t>
  </si>
  <si>
    <t>이종영</t>
  </si>
  <si>
    <t>서숙재</t>
  </si>
  <si>
    <t>정안순</t>
  </si>
  <si>
    <t>임선애</t>
  </si>
  <si>
    <t>2012년도 예산(안)</t>
  </si>
  <si>
    <t>증감</t>
  </si>
  <si>
    <t>(단위: 천원)</t>
  </si>
  <si>
    <t>(단위:천원)</t>
  </si>
  <si>
    <t>=세입예산!E4</t>
  </si>
  <si>
    <t>금액</t>
  </si>
  <si>
    <t>비율(%)</t>
  </si>
  <si>
    <t>런닝,팬티</t>
  </si>
  <si>
    <t>비율(%)</t>
  </si>
  <si>
    <t>2012년도 세출 예산(안)</t>
  </si>
  <si>
    <t>오재흠</t>
  </si>
  <si>
    <t>직   위</t>
  </si>
  <si>
    <t>본봉(A)</t>
  </si>
  <si>
    <t>차감지급액(E=C-D)</t>
  </si>
  <si>
    <t>분기</t>
  </si>
  <si>
    <t>동내의</t>
  </si>
  <si>
    <t>추석(9월)</t>
  </si>
  <si>
    <t xml:space="preserve">월동대책비 </t>
  </si>
  <si>
    <t>의료비(상비의약품)</t>
  </si>
  <si>
    <t xml:space="preserve">캠프활동지원비 </t>
  </si>
  <si>
    <t>설날(1월)</t>
  </si>
  <si>
    <t>건강검진비</t>
  </si>
  <si>
    <t xml:space="preserve">특별난방비 </t>
  </si>
  <si>
    <t>기본급</t>
  </si>
  <si>
    <t>명절휴가비</t>
  </si>
  <si>
    <t>직책보조수당</t>
  </si>
  <si>
    <t>연장근로수당</t>
  </si>
  <si>
    <t>가족수당</t>
  </si>
  <si>
    <t>장려수당</t>
  </si>
  <si>
    <t>자격수당</t>
  </si>
  <si>
    <t>퇴직적립금</t>
  </si>
  <si>
    <t>국민건강보험료</t>
  </si>
  <si>
    <t>장기요양보험료</t>
  </si>
  <si>
    <t>국민연금보험</t>
  </si>
  <si>
    <t>산재보험료</t>
  </si>
  <si>
    <t>고용보험료</t>
  </si>
  <si>
    <t>지정후원금</t>
  </si>
  <si>
    <t>×</t>
  </si>
  <si>
    <t>=</t>
  </si>
  <si>
    <t>비지정후원금</t>
  </si>
  <si>
    <t>금융기관차입금</t>
  </si>
  <si>
    <t>기타차입금</t>
  </si>
  <si>
    <t>이월사업비</t>
  </si>
  <si>
    <t>불용품매각대</t>
  </si>
  <si>
    <t>기타예금이자수입</t>
  </si>
  <si>
    <t>장기요양보험</t>
  </si>
  <si>
    <t>국민연금</t>
  </si>
  <si>
    <t>고용보험</t>
  </si>
  <si>
    <t>산재보험</t>
  </si>
  <si>
    <t>월</t>
  </si>
  <si>
    <t>기타 시설유지비</t>
  </si>
  <si>
    <t>해당사항 없음</t>
  </si>
  <si>
    <t>잡지출</t>
  </si>
  <si>
    <t>이자지불금</t>
  </si>
  <si>
    <t>원금상환금</t>
  </si>
  <si>
    <t>보조금반환</t>
  </si>
  <si>
    <t>=</t>
  </si>
  <si>
    <t>국민건강보험</t>
  </si>
  <si>
    <t>배우자1인40,000 부양가족1인20,000기준</t>
  </si>
  <si>
    <t>박민지</t>
  </si>
  <si>
    <t>김민지</t>
  </si>
  <si>
    <t>생활재활교사, 조리원: 55시간</t>
  </si>
  <si>
    <t>예산액(A)</t>
  </si>
  <si>
    <t>증감(A-B)</t>
  </si>
  <si>
    <t>09.예비비</t>
  </si>
  <si>
    <t>08.과년도지출</t>
  </si>
  <si>
    <t>81.과년도지출</t>
  </si>
  <si>
    <t>811.과년도지출</t>
  </si>
  <si>
    <t>8111.과년도지출</t>
  </si>
  <si>
    <t>=E4-F4</t>
  </si>
  <si>
    <t>09.예비비</t>
  </si>
  <si>
    <t>08.과년도지출</t>
  </si>
  <si>
    <t>과년도지출</t>
  </si>
  <si>
    <t>(차기이월금)</t>
  </si>
  <si>
    <t>2012년도 세입예산(안)</t>
  </si>
  <si>
    <t>2010년 월평균  직원 급여</t>
  </si>
  <si>
    <t>번호</t>
  </si>
  <si>
    <t>직 책</t>
  </si>
  <si>
    <t>성 명</t>
  </si>
  <si>
    <t>호 봉</t>
  </si>
  <si>
    <t>기본급</t>
  </si>
  <si>
    <t>개월</t>
  </si>
  <si>
    <t>기본급총액</t>
  </si>
  <si>
    <t>명절휴가비</t>
  </si>
  <si>
    <t>직책보조수당</t>
  </si>
  <si>
    <t>연장근로수당</t>
  </si>
  <si>
    <t>가족수당</t>
  </si>
  <si>
    <t>장려수당</t>
  </si>
  <si>
    <t>자격수당</t>
  </si>
  <si>
    <t>총    계</t>
  </si>
  <si>
    <t>월평균보수액</t>
  </si>
  <si>
    <t>국민건강</t>
  </si>
  <si>
    <t>장기요양</t>
  </si>
  <si>
    <t>국민연금</t>
  </si>
  <si>
    <t>고용보험</t>
  </si>
  <si>
    <t>식대비</t>
  </si>
  <si>
    <t>소득세</t>
  </si>
  <si>
    <t>공제계</t>
  </si>
  <si>
    <t>실수령액</t>
  </si>
  <si>
    <t>원장</t>
  </si>
  <si>
    <t>박세혁</t>
  </si>
  <si>
    <t>사회재활교사</t>
  </si>
  <si>
    <t>김춘희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</si>
  <si>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</si>
  <si>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</si>
  <si>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</si>
  <si>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</si>
  <si>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</si>
  <si>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</si>
  <si>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</si>
  <si>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오재흠</t>
  </si>
  <si>
    <t>생활재활교사</t>
  </si>
  <si>
    <t>김민지</t>
  </si>
  <si>
    <t>손성호</t>
  </si>
  <si>
    <t>박민지</t>
  </si>
  <si>
    <t>정동민</t>
  </si>
  <si>
    <t>조리원</t>
  </si>
  <si>
    <t>김봉란</t>
  </si>
  <si>
    <t>서숙재</t>
  </si>
  <si>
    <t>위생원</t>
  </si>
  <si>
    <t>정안순</t>
  </si>
  <si>
    <t>물리치료사</t>
  </si>
  <si>
    <t>간호원</t>
  </si>
  <si>
    <t>양은하</t>
  </si>
  <si>
    <t>사무원</t>
  </si>
  <si>
    <t>황효섭</t>
  </si>
  <si>
    <t>계</t>
  </si>
  <si>
    <t>인    건    비</t>
  </si>
  <si>
    <t>퇴  직  금</t>
  </si>
  <si>
    <t>국민건강보험료</t>
  </si>
  <si>
    <t>장기요양보험료</t>
  </si>
  <si>
    <t>국민연금보험료</t>
  </si>
  <si>
    <t>산재보험료</t>
  </si>
  <si>
    <t>고용보험료</t>
  </si>
  <si>
    <t>총 인건비</t>
  </si>
  <si>
    <t xml:space="preserve"> 관리운영비</t>
  </si>
  <si>
    <t>구분</t>
  </si>
  <si>
    <t>기준</t>
  </si>
  <si>
    <t>인원</t>
  </si>
  <si>
    <t>개월</t>
  </si>
  <si>
    <t>ㅡ</t>
  </si>
  <si>
    <t>년</t>
  </si>
  <si>
    <t xml:space="preserve"> 생 계 비</t>
  </si>
  <si>
    <t>주식,부식,연료비</t>
  </si>
  <si>
    <t>월</t>
  </si>
  <si>
    <t>피복비</t>
  </si>
  <si>
    <t>장의비</t>
  </si>
  <si>
    <t>동내의</t>
  </si>
  <si>
    <t>월동대책비</t>
  </si>
  <si>
    <t>특별위로비</t>
  </si>
  <si>
    <t>연2회(추석)</t>
  </si>
  <si>
    <t>기타지원비</t>
  </si>
  <si>
    <t>캠프활동지원비</t>
  </si>
  <si>
    <t>의료비</t>
  </si>
  <si>
    <t>건강검진비</t>
  </si>
  <si>
    <t>특별부식비</t>
  </si>
  <si>
    <t>특별난방비</t>
  </si>
  <si>
    <t>정부보조 총운영비</t>
  </si>
  <si>
    <t>2013년 엘림소망의집 정부보조 소요액 파악 자료</t>
  </si>
  <si>
    <t>신규</t>
  </si>
  <si>
    <t>상담평가원</t>
  </si>
  <si>
    <t>박은정</t>
  </si>
  <si>
    <t>2013년 직원 보수 일람표</t>
  </si>
  <si>
    <t>(1~12월:21명)</t>
  </si>
  <si>
    <t>직책보조수당(제수당 편입)</t>
  </si>
  <si>
    <t>×</t>
  </si>
  <si>
    <t>회</t>
  </si>
  <si>
    <t>=</t>
  </si>
  <si>
    <t>(1~12월:16명)</t>
  </si>
  <si>
    <t>회</t>
  </si>
  <si>
    <t>회</t>
  </si>
  <si>
    <t>회</t>
  </si>
  <si>
    <t>31.운영비</t>
  </si>
  <si>
    <t>세      입</t>
  </si>
  <si>
    <t>세     출</t>
  </si>
  <si>
    <t>박세혁</t>
  </si>
  <si>
    <t>합    계</t>
  </si>
  <si>
    <t>사무국장</t>
  </si>
  <si>
    <t>사무국장</t>
  </si>
  <si>
    <t>생활지도원</t>
  </si>
  <si>
    <t>작업치료사</t>
  </si>
  <si>
    <t>종사자단체복</t>
  </si>
  <si>
    <t>인</t>
  </si>
  <si>
    <t>운영위원회</t>
  </si>
  <si>
    <t>인권지킴이단</t>
  </si>
  <si>
    <t>부모간담회</t>
  </si>
  <si>
    <t>국내외교육여비</t>
  </si>
  <si>
    <t>해외연수참가비</t>
  </si>
  <si>
    <t>국내교육참가비</t>
  </si>
  <si>
    <t>사무용품비</t>
  </si>
  <si>
    <t>집기구입비</t>
  </si>
  <si>
    <t>환경미화비</t>
  </si>
  <si>
    <t>사진현상비</t>
  </si>
  <si>
    <t>정화조오물수거료</t>
  </si>
  <si>
    <t>정수기관리비</t>
  </si>
  <si>
    <t>소규모수선비</t>
  </si>
  <si>
    <t>월</t>
  </si>
  <si>
    <t>우편료</t>
  </si>
  <si>
    <t>전화요금</t>
  </si>
  <si>
    <t>전기요금</t>
  </si>
  <si>
    <t>상수도요금</t>
  </si>
  <si>
    <t>영업배상책임보험</t>
  </si>
  <si>
    <t>화재보험</t>
  </si>
  <si>
    <t>가스배상책임보험</t>
  </si>
  <si>
    <t>자동차보험</t>
  </si>
  <si>
    <t>환경개선부담금</t>
  </si>
  <si>
    <t>대</t>
  </si>
  <si>
    <t>자동차세</t>
  </si>
  <si>
    <t>가스안전점검료</t>
  </si>
  <si>
    <t>기타 제세공과금</t>
  </si>
  <si>
    <t>소방안전점검료</t>
  </si>
  <si>
    <t>차량유류대</t>
  </si>
  <si>
    <t>차량정비및소모품</t>
  </si>
  <si>
    <t>교구수납장</t>
  </si>
  <si>
    <t>작업테이블</t>
  </si>
  <si>
    <t>의자</t>
  </si>
  <si>
    <t>브라인드,커튼</t>
  </si>
  <si>
    <t>책장</t>
  </si>
  <si>
    <t>하단수납장</t>
  </si>
  <si>
    <t>좌식테이블</t>
  </si>
  <si>
    <t>방송장비설치비</t>
  </si>
  <si>
    <t>냉난방기(40평)</t>
  </si>
  <si>
    <t>창</t>
  </si>
  <si>
    <t>set</t>
  </si>
  <si>
    <t>개</t>
  </si>
  <si>
    <t>개</t>
  </si>
  <si>
    <t>비품파손교체비</t>
  </si>
  <si>
    <t>전기안전관리비</t>
  </si>
  <si>
    <t>방충망 재설치</t>
  </si>
  <si>
    <t>TV 수리비</t>
  </si>
  <si>
    <t>문 수리비</t>
  </si>
  <si>
    <t>일</t>
  </si>
  <si>
    <t>김장담그기</t>
  </si>
  <si>
    <t>LPG</t>
  </si>
  <si>
    <t>칫솔.치약</t>
  </si>
  <si>
    <t>비누,세제류</t>
  </si>
  <si>
    <t>샴푸,린스</t>
  </si>
  <si>
    <t>로션</t>
  </si>
  <si>
    <t>월</t>
  </si>
  <si>
    <t>기타생필품</t>
  </si>
  <si>
    <t>화장지, 기저귀</t>
  </si>
  <si>
    <t>외출복</t>
  </si>
  <si>
    <t>상비시약대</t>
  </si>
  <si>
    <t>의료소모품</t>
  </si>
  <si>
    <t>난방연료비(공공요금 편입)</t>
  </si>
  <si>
    <t>학용품비</t>
  </si>
  <si>
    <t>학업도서</t>
  </si>
  <si>
    <t>가방</t>
  </si>
  <si>
    <t>취업준비반</t>
  </si>
  <si>
    <t>명</t>
  </si>
  <si>
    <t>주식비</t>
  </si>
  <si>
    <t>＝</t>
  </si>
  <si>
    <t>부식비</t>
  </si>
  <si>
    <t>직원주부식비</t>
  </si>
  <si>
    <t>장담이</t>
  </si>
  <si>
    <t>도배교체비</t>
  </si>
  <si>
    <t>실</t>
  </si>
  <si>
    <t>1131.일용급</t>
  </si>
  <si>
    <t>일용잡급</t>
  </si>
  <si>
    <t>기초수급자장제비</t>
  </si>
  <si>
    <t>2014년도 이월되는 금액</t>
  </si>
  <si>
    <t>3311.물리치료사업</t>
  </si>
  <si>
    <t>3312.작업치료사업</t>
  </si>
  <si>
    <t>3313.감각통합치료사업</t>
  </si>
  <si>
    <t>3314.간호서비스사업</t>
  </si>
  <si>
    <t>3321.피부미용사업</t>
  </si>
  <si>
    <t>3322.퍼즐숨은그림찾기</t>
  </si>
  <si>
    <t>3324.노래율동배우기</t>
  </si>
  <si>
    <t>3325.종이와풍선</t>
  </si>
  <si>
    <t>3326.단체놀이-우리함께</t>
  </si>
  <si>
    <t>3327.다도교실</t>
  </si>
  <si>
    <t>3320.원예교실</t>
  </si>
  <si>
    <t>332a.일상생활능력향상교실</t>
  </si>
  <si>
    <t>332b.기초예절교실</t>
  </si>
  <si>
    <t>332c.요리교실</t>
  </si>
  <si>
    <t>332f.하계캠프</t>
  </si>
  <si>
    <t>생활지도원(4.5호봉)</t>
  </si>
  <si>
    <t>생활지도원(11호봉)</t>
  </si>
  <si>
    <t>생활지도원(4호봉)</t>
  </si>
  <si>
    <t>생활지도원(5.6호봉)</t>
  </si>
  <si>
    <t>생활지도원(1.2호봉)</t>
  </si>
  <si>
    <t>조리원(2.3호봉)</t>
  </si>
  <si>
    <t>위생원(4.5호봉)</t>
  </si>
  <si>
    <t>사무원(1호봉)</t>
  </si>
  <si>
    <t>원장(10.11호봉)</t>
  </si>
  <si>
    <t>3332.산수놀이</t>
  </si>
  <si>
    <t>3333.도덕성교육</t>
  </si>
  <si>
    <t>3334.한글교실</t>
  </si>
  <si>
    <t>3352.소식지발행사업</t>
  </si>
  <si>
    <t>3353.홈페이지관리</t>
  </si>
  <si>
    <t>332e.계절과함께나들이</t>
  </si>
  <si>
    <t>기타행사준비비</t>
  </si>
  <si>
    <t>소식지</t>
  </si>
  <si>
    <t>사회복지현장실습비</t>
  </si>
  <si>
    <t>회</t>
  </si>
  <si>
    <t>생활지도원(3호봉)</t>
  </si>
  <si>
    <t>상담평가원(5호봉)</t>
  </si>
  <si>
    <t>작업치료사(1.2호봉)</t>
  </si>
  <si>
    <t>간호원(5호봉)</t>
  </si>
  <si>
    <t>원장(10.11호봉)</t>
  </si>
  <si>
    <t>사무국장 (15.16호봉)</t>
  </si>
  <si>
    <t>사회재활교사(9,10호봉)</t>
  </si>
  <si>
    <t>생활지도원(4.5호봉)</t>
  </si>
  <si>
    <t>생활지도원(11호봉)</t>
  </si>
  <si>
    <t>생활지도원(4호봉)</t>
  </si>
  <si>
    <t>생활지도원(5.6호봉)</t>
  </si>
  <si>
    <t>생활지도원(1.2호봉)</t>
  </si>
  <si>
    <t>생활지도원(3호봉)</t>
  </si>
  <si>
    <t>상담평가원(5호봉)</t>
  </si>
  <si>
    <t>조리원(2.3호봉)</t>
  </si>
  <si>
    <t>위생원(4.5호봉)</t>
  </si>
  <si>
    <t>작업치료사(1.2호봉)</t>
  </si>
  <si>
    <t>간호원(5호봉)</t>
  </si>
  <si>
    <t>사무원(1호봉)</t>
  </si>
  <si>
    <t>기초생활수급권자</t>
  </si>
  <si>
    <t>2012년도에서 이월되는 이월금</t>
  </si>
  <si>
    <t>2012년도에서 이월되는 지정후원이월금</t>
  </si>
  <si>
    <t>2012년도에서 이월되는 비지정후원이월금</t>
  </si>
  <si>
    <t>관리운영비</t>
  </si>
  <si>
    <t>직원식사제공비</t>
  </si>
  <si>
    <t>명</t>
  </si>
  <si>
    <t>322.학용품비</t>
  </si>
  <si>
    <t>136. 기 타운영비</t>
  </si>
  <si>
    <t>33.사업비</t>
  </si>
  <si>
    <t>331.의료재활사업비</t>
  </si>
  <si>
    <t>전기온열치료 소모품</t>
  </si>
  <si>
    <t>반기</t>
  </si>
  <si>
    <t>＝</t>
  </si>
  <si>
    <t>치료기기 수리비용</t>
  </si>
  <si>
    <t>대,소근육운동교구</t>
  </si>
  <si>
    <t>×</t>
  </si>
  <si>
    <t>인지치료교구</t>
  </si>
  <si>
    <t>모래놀이 치료 교구</t>
  </si>
  <si>
    <t>소모품 교체 비용</t>
  </si>
  <si>
    <t>시지각 자극 교구</t>
  </si>
  <si>
    <t>외래진료및처방비</t>
  </si>
  <si>
    <t>332.사회심리재활사업비</t>
  </si>
  <si>
    <t>마스크팩 재료비용</t>
  </si>
  <si>
    <t>상품용 간식비용</t>
  </si>
  <si>
    <t>3323.수제비누와샴푸만들기</t>
  </si>
  <si>
    <t>베이스 등 기본재료</t>
  </si>
  <si>
    <t>품목별 향신료</t>
  </si>
  <si>
    <t>풍선, 색종이 구입비</t>
  </si>
  <si>
    <t>단체놀이도구</t>
  </si>
  <si>
    <t>다기세트구입비</t>
  </si>
  <si>
    <t>세트</t>
  </si>
  <si>
    <t>음용차 구입비</t>
  </si>
  <si>
    <t>아로마램프 구입비</t>
  </si>
  <si>
    <t>에센스 오일</t>
  </si>
  <si>
    <t>색상조명기 제작비</t>
  </si>
  <si>
    <t>식</t>
  </si>
  <si>
    <t>프로그램 간식비용</t>
  </si>
  <si>
    <t>3329.짜증교실</t>
  </si>
  <si>
    <t>화풀이 인형 제작비</t>
  </si>
  <si>
    <t>다트판 구입</t>
  </si>
  <si>
    <t>기타 잡재료비용</t>
  </si>
  <si>
    <t>명</t>
  </si>
  <si>
    <t>화초구입비용</t>
  </si>
  <si>
    <t>프로그램 전용 수건</t>
  </si>
  <si>
    <t>매</t>
  </si>
  <si>
    <t>샴푸</t>
  </si>
  <si>
    <t>통</t>
  </si>
  <si>
    <t>린스</t>
  </si>
  <si>
    <t>비누</t>
  </si>
  <si>
    <t>기타 교구비용</t>
  </si>
  <si>
    <t>교육용 재료비</t>
  </si>
  <si>
    <r>
      <t>332d.</t>
    </r>
    <r>
      <rPr>
        <sz val="10"/>
        <rFont val="굴림"/>
        <family val="3"/>
      </rPr>
      <t>맨손체조교실</t>
    </r>
  </si>
  <si>
    <t>안전매트구입비</t>
  </si>
  <si>
    <t>버스대여비</t>
  </si>
  <si>
    <t>간식비</t>
  </si>
  <si>
    <t>식사비</t>
  </si>
  <si>
    <t>체험 및 예비비용</t>
  </si>
  <si>
    <t>숙박비</t>
  </si>
  <si>
    <t>박</t>
  </si>
  <si>
    <t>3331.분리수거</t>
  </si>
  <si>
    <t>봉투, 장갑구입비</t>
  </si>
  <si>
    <t>책거리 간식비</t>
  </si>
  <si>
    <t>월별 교육자료 제작비</t>
  </si>
  <si>
    <t>교재비</t>
  </si>
  <si>
    <t>3335.공예프로그램</t>
  </si>
  <si>
    <t>공예물품 구입비</t>
  </si>
  <si>
    <t>간식비용</t>
  </si>
  <si>
    <t>334.직업재활사업비</t>
  </si>
  <si>
    <t>3341.직업재활사업비</t>
  </si>
  <si>
    <t>3351.성탄의밤</t>
  </si>
  <si>
    <t>다과 및 음식</t>
  </si>
  <si>
    <t>거주인 성탄선물</t>
  </si>
  <si>
    <t>333.교육재활사업비</t>
  </si>
  <si>
    <t>02.재산조성비</t>
  </si>
  <si>
    <t>가중치</t>
  </si>
  <si>
    <t>법인전입금</t>
  </si>
  <si>
    <t>종사자기념일선물</t>
  </si>
  <si>
    <t>팀별 단합등반대회</t>
  </si>
  <si>
    <t>종사자생일</t>
  </si>
  <si>
    <t>기관운영비</t>
  </si>
  <si>
    <t>성교육</t>
  </si>
  <si>
    <t>수술,입원비용 확보분</t>
  </si>
  <si>
    <t>건강검진비</t>
  </si>
  <si>
    <t>음향장비 수리비</t>
  </si>
  <si>
    <t>도메인및 호스팅</t>
  </si>
  <si>
    <t>335.기타사업비</t>
  </si>
  <si>
    <t>3328.느낌표쉼표</t>
  </si>
  <si>
    <t>기정         예산액(B)</t>
  </si>
  <si>
    <t>실비이용거주인 48,972,000(371,000×11명×12월)-44,748,000=</t>
  </si>
  <si>
    <t>475,677,000(2013년 인건비기준)-450,684,000=</t>
  </si>
  <si>
    <t>46,928,400-37,654,000=</t>
  </si>
  <si>
    <t>3,600,000-3,600,000=</t>
  </si>
  <si>
    <t>157,920,190-149,992,350=</t>
  </si>
  <si>
    <t>1,399,340-1,296,390=</t>
  </si>
  <si>
    <t>41,570,550-39,591,000</t>
  </si>
  <si>
    <t>18,678,960(51,886×30×12월)-17,789,760</t>
  </si>
  <si>
    <t>35,130,696(154,082*19*12월)-29,157,096</t>
  </si>
  <si>
    <t>=</t>
  </si>
  <si>
    <t>0원-2,963,088원</t>
  </si>
  <si>
    <t>0원-383,780원</t>
  </si>
  <si>
    <t>522,310(27,490*19*1월)-505,210</t>
  </si>
  <si>
    <t>26,648(26,648*19*1월)-489,688원</t>
  </si>
  <si>
    <t>26,856,000(2,984,000×1명×9월)-24,957,000=</t>
  </si>
  <si>
    <t>9,264,000(3,088,000*1명×3월)-8,610,000=</t>
  </si>
  <si>
    <t>9,228,000(3,076,000*1명×3월)-8568000</t>
  </si>
  <si>
    <t>2013년 인건비 기준적용 475,677,000-450,684,000=</t>
  </si>
  <si>
    <t>2013년 인건비 기준적용 157,920,190-149,992,380=</t>
  </si>
  <si>
    <t>2013년 인건비(기본급*60%*2회) 기준적용 46,928,400-37,654,000=</t>
  </si>
  <si>
    <t>60,373,790(724,485,590*1/12)-56,874,190=</t>
  </si>
  <si>
    <t>32,601,850(724,485,590*4.5%)-30,712,060</t>
  </si>
  <si>
    <t>1,399,880(21,372,320*6.55%)-1,296,390</t>
  </si>
  <si>
    <t>21,372,320(724,485,590*2.95%)-19,792,220</t>
  </si>
  <si>
    <t>5,795,880(724,485,590*0.80%)-5,459,920</t>
  </si>
  <si>
    <t>5,650,980(724,485,590*0.78%)-5,323420</t>
  </si>
  <si>
    <t>8,400,000(20,000×3명×12월)-7,680,000</t>
  </si>
  <si>
    <t>자격수당(1급소지자추가수당)</t>
  </si>
  <si>
    <t>4,200,000(50,000×2명×12월)-3,600,000</t>
  </si>
  <si>
    <t>60,373,790-56,874,190=</t>
  </si>
  <si>
    <t>21,372,320(0.5%요율인상)-19,792,220=</t>
  </si>
  <si>
    <t>5,795,880-5,459,920=</t>
  </si>
  <si>
    <t>5,650,980-5,323,420=</t>
  </si>
  <si>
    <t>32,601,850-30,712,060=</t>
  </si>
  <si>
    <t>기타집기류</t>
  </si>
  <si>
    <t>10,400,000-7,400,000</t>
  </si>
  <si>
    <t>=</t>
  </si>
  <si>
    <t>245,000-199,000</t>
  </si>
  <si>
    <t>대</t>
  </si>
  <si>
    <t>다목적프로그램실장비</t>
  </si>
  <si>
    <t>직책보조수당(팀장)</t>
  </si>
  <si>
    <t>2013년 1차 추가경정 세출예산(안)</t>
  </si>
  <si>
    <t>증:91,140</t>
  </si>
  <si>
    <t>기정예산액</t>
  </si>
  <si>
    <t>기정              예산액(B)</t>
  </si>
  <si>
    <t>일반피복비(생계비 합산)</t>
  </si>
  <si>
    <t>붙박이수납장제작</t>
  </si>
  <si>
    <t>SET</t>
  </si>
  <si>
    <t>놀이교구</t>
  </si>
  <si>
    <t>난방히터</t>
  </si>
  <si>
    <t xml:space="preserve">다목적프로그램실 증축공사비 </t>
  </si>
  <si>
    <t>선풍기</t>
  </si>
  <si>
    <t>43,100,000-21,100,000</t>
  </si>
  <si>
    <t>5,374,000-1,000,000</t>
  </si>
  <si>
    <t>예산액</t>
  </si>
  <si>
    <r>
      <t>2013년 제1차 추가경정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총괄(안)</t>
    </r>
  </si>
  <si>
    <t>2013년 제1차 추가경정 세입예산(안)</t>
  </si>
  <si>
    <t>8,160,000(60,000*8월×1명)-7,680,000</t>
  </si>
  <si>
    <t>예산액</t>
  </si>
  <si>
    <t>기정예산액</t>
  </si>
</sst>
</file>

<file path=xl/styles.xml><?xml version="1.0" encoding="utf-8"?>
<styleSheet xmlns="http://schemas.openxmlformats.org/spreadsheetml/2006/main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_);[Red]\(0\)"/>
    <numFmt numFmtId="177" formatCode="0_ "/>
    <numFmt numFmtId="178" formatCode="#\ ?/2"/>
    <numFmt numFmtId="179" formatCode="_-* #,##0.0_-;\-* #,##0.0_-;_-* &quot;-&quot;?_-;_-@_-"/>
    <numFmt numFmtId="180" formatCode="#\ ???/???"/>
    <numFmt numFmtId="181" formatCode="0.0%"/>
    <numFmt numFmtId="182" formatCode="#,##0_ "/>
    <numFmt numFmtId="183" formatCode="_-* #,##0_-;\-* #,##0_-;_-* &quot;-&quot;??_-;_-@_-"/>
  </numFmts>
  <fonts count="3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8"/>
      <name val="굴림"/>
      <family val="3"/>
    </font>
    <font>
      <b/>
      <sz val="20"/>
      <name val="굴림"/>
      <family val="3"/>
    </font>
    <font>
      <sz val="24"/>
      <name val="굴림"/>
      <family val="3"/>
    </font>
    <font>
      <b/>
      <sz val="11"/>
      <name val="돋움"/>
      <family val="3"/>
    </font>
    <font>
      <sz val="24"/>
      <name val="HY그래픽"/>
      <family val="1"/>
    </font>
    <font>
      <b/>
      <sz val="26"/>
      <name val="굴림"/>
      <family val="3"/>
    </font>
    <font>
      <b/>
      <sz val="24"/>
      <name val="굴림"/>
      <family val="3"/>
    </font>
    <font>
      <sz val="11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u val="single"/>
      <sz val="24"/>
      <name val="굴림"/>
      <family val="3"/>
    </font>
    <font>
      <b/>
      <sz val="14"/>
      <name val="굴림"/>
      <family val="3"/>
    </font>
    <font>
      <sz val="10"/>
      <name val="굴림"/>
      <family val="3"/>
    </font>
    <font>
      <b/>
      <sz val="13"/>
      <name val="굴림"/>
      <family val="3"/>
    </font>
    <font>
      <sz val="14"/>
      <name val="굴림"/>
      <family val="3"/>
    </font>
    <font>
      <sz val="18"/>
      <name val="굴림"/>
      <family val="3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sz val="12"/>
      <color indexed="8"/>
      <name val="새굴림"/>
      <family val="1"/>
    </font>
    <font>
      <b/>
      <u val="single"/>
      <sz val="16"/>
      <color indexed="8"/>
      <name val="새굴림"/>
      <family val="1"/>
    </font>
    <font>
      <sz val="10"/>
      <color indexed="8"/>
      <name val="새굴림"/>
      <family val="1"/>
    </font>
    <font>
      <b/>
      <sz val="36"/>
      <name val="굴림"/>
      <family val="3"/>
    </font>
    <font>
      <sz val="16"/>
      <color theme="0"/>
      <name val="굴림"/>
      <family val="3"/>
    </font>
    <font>
      <sz val="8"/>
      <color theme="0"/>
      <name val="굴림"/>
      <family val="3"/>
    </font>
    <font>
      <sz val="14"/>
      <color theme="0"/>
      <name val="굴림"/>
      <family val="3"/>
    </font>
    <font>
      <sz val="11"/>
      <color theme="0"/>
      <name val="굴림"/>
      <family val="3"/>
    </font>
    <font>
      <sz val="11"/>
      <color theme="0"/>
      <name val="돋움"/>
      <family val="3"/>
    </font>
    <font>
      <sz val="11"/>
      <color theme="1"/>
      <name val="굴림"/>
      <family val="3"/>
    </font>
    <font>
      <sz val="16"/>
      <color theme="1"/>
      <name val="굴림"/>
      <family val="3"/>
    </font>
    <font>
      <sz val="12"/>
      <color indexed="8"/>
      <name val="굴림"/>
      <family val="3"/>
    </font>
    <font>
      <b/>
      <sz val="14"/>
      <color indexed="8"/>
      <name val="굴림"/>
      <family val="3"/>
    </font>
    <font>
      <b/>
      <sz val="12"/>
      <name val="돋움"/>
      <family val="3"/>
    </font>
    <font>
      <b/>
      <u val="single"/>
      <sz val="24"/>
      <color indexed="8"/>
      <name val="새굴림"/>
      <family val="1"/>
    </font>
    <font>
      <b/>
      <sz val="12"/>
      <color indexed="8"/>
      <name val="굴림"/>
      <family val="3"/>
    </font>
    <font>
      <sz val="11"/>
      <color theme="1"/>
      <name val="돋움"/>
      <family val="3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 style="double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 style="medium"/>
      <bottom style="medium"/>
    </border>
    <border>
      <left style="thin"/>
      <right style="medium"/>
      <top style="thin"/>
      <bottom/>
    </border>
    <border>
      <left style="double"/>
      <right style="thin"/>
      <top/>
      <bottom style="thin"/>
    </border>
    <border>
      <left style="double"/>
      <right/>
      <top/>
      <bottom/>
    </border>
    <border>
      <left style="medium"/>
      <right style="medium"/>
      <top style="medium"/>
      <bottom style="medium"/>
    </border>
    <border diagonalUp="1">
      <left style="medium"/>
      <right/>
      <top/>
      <bottom/>
      <diagonal style="thin"/>
    </border>
    <border diagonalUp="1">
      <left style="medium"/>
      <right/>
      <top/>
      <bottom style="medium"/>
      <diagonal style="thin"/>
    </border>
    <border diagonalUp="1">
      <left style="medium"/>
      <right/>
      <top style="medium"/>
      <bottom style="medium"/>
      <diagonal style="thin"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/>
      <top style="thin"/>
      <bottom/>
    </border>
    <border>
      <left style="double"/>
      <right/>
      <top style="medium"/>
      <bottom/>
    </border>
    <border>
      <left style="double"/>
      <right/>
      <top/>
      <bottom style="medium"/>
    </border>
    <border diagonalUp="1">
      <left style="medium"/>
      <right style="thin"/>
      <top style="medium"/>
      <bottom/>
      <diagonal style="thin"/>
    </border>
    <border diagonalUp="1">
      <left style="medium"/>
      <right style="thin"/>
      <top/>
      <bottom/>
      <diagonal style="thin"/>
    </border>
    <border diagonalUp="1">
      <left style="medium"/>
      <right style="thin"/>
      <top/>
      <bottom style="medium"/>
      <diagonal style="thin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/>
      <right style="double"/>
      <top style="medium"/>
      <bottom/>
    </border>
    <border>
      <left style="medium"/>
      <right/>
      <top style="medium"/>
      <bottom/>
    </border>
    <border diagonalUp="1">
      <left style="medium"/>
      <right style="thin"/>
      <top style="thin"/>
      <bottom/>
      <diagonal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1054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center" vertical="distributed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41" fontId="3" fillId="0" borderId="0" xfId="2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41" fontId="3" fillId="0" borderId="4" xfId="2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82" fontId="3" fillId="0" borderId="0" xfId="21" applyNumberFormat="1" applyFont="1" applyBorder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41" fontId="11" fillId="0" borderId="6" xfId="21" applyFont="1" applyBorder="1" applyAlignment="1">
      <alignment horizontal="center" vertical="center"/>
    </xf>
    <xf numFmtId="41" fontId="10" fillId="0" borderId="6" xfId="21" applyFont="1" applyBorder="1" applyAlignment="1">
      <alignment horizontal="center" vertical="center"/>
    </xf>
    <xf numFmtId="41" fontId="10" fillId="0" borderId="7" xfId="2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10" fontId="11" fillId="0" borderId="6" xfId="0" applyNumberFormat="1" applyFont="1" applyBorder="1" applyAlignment="1">
      <alignment horizontal="center" vertical="center" shrinkToFit="1"/>
    </xf>
    <xf numFmtId="178" fontId="11" fillId="0" borderId="6" xfId="0" applyNumberFormat="1" applyFont="1" applyBorder="1" applyAlignment="1">
      <alignment horizontal="center" vertical="center" shrinkToFit="1"/>
    </xf>
    <xf numFmtId="183" fontId="11" fillId="0" borderId="6" xfId="0" applyNumberFormat="1" applyFont="1" applyBorder="1" applyAlignment="1">
      <alignment vertical="center"/>
    </xf>
    <xf numFmtId="181" fontId="11" fillId="0" borderId="6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3" fontId="11" fillId="0" borderId="9" xfId="0" applyNumberFormat="1" applyFont="1" applyBorder="1" applyAlignment="1">
      <alignment horizontal="center" vertical="center" shrinkToFit="1"/>
    </xf>
    <xf numFmtId="41" fontId="11" fillId="0" borderId="10" xfId="0" applyNumberFormat="1" applyFont="1" applyBorder="1" applyAlignment="1">
      <alignment horizontal="center" vertical="center" shrinkToFit="1"/>
    </xf>
    <xf numFmtId="183" fontId="11" fillId="0" borderId="7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11" fillId="0" borderId="14" xfId="21" applyFont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41" fontId="12" fillId="2" borderId="15" xfId="0" applyNumberFormat="1" applyFont="1" applyFill="1" applyBorder="1" applyAlignment="1">
      <alignment vertical="center"/>
    </xf>
    <xf numFmtId="41" fontId="12" fillId="2" borderId="16" xfId="0" applyNumberFormat="1" applyFont="1" applyFill="1" applyBorder="1" applyAlignment="1">
      <alignment vertical="center"/>
    </xf>
    <xf numFmtId="41" fontId="13" fillId="3" borderId="17" xfId="0" applyNumberFormat="1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41" fontId="11" fillId="0" borderId="20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41" fontId="13" fillId="2" borderId="21" xfId="0" applyNumberFormat="1" applyFont="1" applyFill="1" applyBorder="1" applyAlignment="1">
      <alignment vertical="center"/>
    </xf>
    <xf numFmtId="183" fontId="13" fillId="2" borderId="7" xfId="0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41" fontId="10" fillId="0" borderId="5" xfId="21" applyFont="1" applyBorder="1" applyAlignment="1">
      <alignment vertical="center"/>
    </xf>
    <xf numFmtId="176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41" fontId="10" fillId="0" borderId="24" xfId="2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1" fontId="10" fillId="0" borderId="27" xfId="21" applyFont="1" applyBorder="1" applyAlignment="1">
      <alignment vertical="center"/>
    </xf>
    <xf numFmtId="176" fontId="10" fillId="0" borderId="27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41" fontId="10" fillId="0" borderId="29" xfId="21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41" fontId="10" fillId="0" borderId="14" xfId="21" applyFont="1" applyBorder="1" applyAlignment="1">
      <alignment vertical="center"/>
    </xf>
    <xf numFmtId="176" fontId="10" fillId="0" borderId="5" xfId="21" applyNumberFormat="1" applyFont="1" applyBorder="1" applyAlignment="1">
      <alignment horizontal="center" vertical="center"/>
    </xf>
    <xf numFmtId="41" fontId="10" fillId="0" borderId="0" xfId="21" applyFont="1" applyBorder="1" applyAlignment="1">
      <alignment vertical="center"/>
    </xf>
    <xf numFmtId="41" fontId="10" fillId="0" borderId="0" xfId="21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41" fontId="10" fillId="0" borderId="30" xfId="2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1" fontId="10" fillId="0" borderId="28" xfId="21" applyFont="1" applyBorder="1" applyAlignment="1">
      <alignment vertical="center"/>
    </xf>
    <xf numFmtId="0" fontId="10" fillId="0" borderId="25" xfId="0" applyFont="1" applyBorder="1" applyAlignment="1">
      <alignment horizontal="left" vertical="center" shrinkToFit="1"/>
    </xf>
    <xf numFmtId="179" fontId="1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82" fontId="10" fillId="0" borderId="0" xfId="0" applyNumberFormat="1" applyFont="1" applyBorder="1" applyAlignment="1">
      <alignment vertical="center" shrinkToFit="1"/>
    </xf>
    <xf numFmtId="41" fontId="10" fillId="0" borderId="26" xfId="21" applyFont="1" applyBorder="1" applyAlignment="1">
      <alignment vertical="center"/>
    </xf>
    <xf numFmtId="41" fontId="10" fillId="0" borderId="31" xfId="21" applyFont="1" applyBorder="1" applyAlignment="1">
      <alignment vertical="center"/>
    </xf>
    <xf numFmtId="41" fontId="10" fillId="0" borderId="3" xfId="21" applyFont="1" applyBorder="1" applyAlignment="1">
      <alignment vertical="center" shrinkToFit="1"/>
    </xf>
    <xf numFmtId="177" fontId="10" fillId="0" borderId="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41" fontId="10" fillId="0" borderId="2" xfId="21" applyFont="1" applyBorder="1" applyAlignment="1">
      <alignment vertical="center" shrinkToFit="1"/>
    </xf>
    <xf numFmtId="176" fontId="10" fillId="0" borderId="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41" fontId="10" fillId="0" borderId="2" xfId="21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41" fontId="12" fillId="0" borderId="13" xfId="2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1" fontId="10" fillId="0" borderId="36" xfId="21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9" fontId="10" fillId="0" borderId="27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176" fontId="10" fillId="0" borderId="27" xfId="21" applyNumberFormat="1" applyFont="1" applyBorder="1" applyAlignment="1">
      <alignment horizontal="center" vertical="center" shrinkToFit="1"/>
    </xf>
    <xf numFmtId="41" fontId="10" fillId="0" borderId="4" xfId="21" applyFont="1" applyBorder="1" applyAlignment="1">
      <alignment vertical="center" shrinkToFit="1"/>
    </xf>
    <xf numFmtId="41" fontId="10" fillId="0" borderId="39" xfId="21" applyFont="1" applyBorder="1" applyAlignment="1">
      <alignment vertical="center" shrinkToFit="1"/>
    </xf>
    <xf numFmtId="41" fontId="10" fillId="0" borderId="40" xfId="21" applyFont="1" applyBorder="1" applyAlignment="1">
      <alignment vertical="center" shrinkToFit="1"/>
    </xf>
    <xf numFmtId="41" fontId="10" fillId="0" borderId="41" xfId="21" applyFont="1" applyBorder="1" applyAlignment="1">
      <alignment vertical="center" shrinkToFit="1"/>
    </xf>
    <xf numFmtId="41" fontId="10" fillId="0" borderId="41" xfId="2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1" fontId="10" fillId="0" borderId="41" xfId="21" applyFont="1" applyFill="1" applyBorder="1" applyAlignment="1">
      <alignment vertical="center" shrinkToFit="1"/>
    </xf>
    <xf numFmtId="41" fontId="10" fillId="0" borderId="39" xfId="21" applyFont="1" applyFill="1" applyBorder="1" applyAlignment="1">
      <alignment vertical="center" shrinkToFit="1"/>
    </xf>
    <xf numFmtId="41" fontId="10" fillId="0" borderId="4" xfId="21" applyFont="1" applyFill="1" applyBorder="1" applyAlignment="1">
      <alignment vertical="center" shrinkToFit="1"/>
    </xf>
    <xf numFmtId="0" fontId="15" fillId="0" borderId="35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41" fontId="10" fillId="0" borderId="5" xfId="21" applyFont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176" fontId="10" fillId="0" borderId="2" xfId="21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9" fontId="1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1" fontId="10" fillId="0" borderId="6" xfId="2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41" fontId="10" fillId="0" borderId="15" xfId="21" applyFont="1" applyBorder="1" applyAlignment="1">
      <alignment vertical="center"/>
    </xf>
    <xf numFmtId="41" fontId="10" fillId="0" borderId="1" xfId="21" applyFont="1" applyBorder="1" applyAlignme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41" fontId="10" fillId="0" borderId="42" xfId="21" applyFont="1" applyBorder="1" applyAlignment="1">
      <alignment vertical="center" shrinkToFit="1"/>
    </xf>
    <xf numFmtId="0" fontId="0" fillId="0" borderId="23" xfId="0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2" fillId="0" borderId="4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0" fillId="0" borderId="44" xfId="0" applyFont="1" applyBorder="1" applyAlignment="1">
      <alignment horizontal="left" vertical="center"/>
    </xf>
    <xf numFmtId="41" fontId="10" fillId="0" borderId="44" xfId="2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41" fontId="10" fillId="0" borderId="45" xfId="21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177" fontId="10" fillId="0" borderId="36" xfId="0" applyNumberFormat="1" applyFont="1" applyBorder="1" applyAlignment="1">
      <alignment horizontal="center" vertical="center"/>
    </xf>
    <xf numFmtId="41" fontId="10" fillId="0" borderId="27" xfId="2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177" fontId="10" fillId="0" borderId="27" xfId="0" applyNumberFormat="1" applyFont="1" applyBorder="1" applyAlignment="1">
      <alignment horizontal="center" vertical="center" shrinkToFit="1"/>
    </xf>
    <xf numFmtId="41" fontId="10" fillId="0" borderId="27" xfId="21" applyFont="1" applyBorder="1" applyAlignment="1">
      <alignment vertical="center" shrinkToFit="1"/>
    </xf>
    <xf numFmtId="0" fontId="10" fillId="0" borderId="28" xfId="0" applyFont="1" applyBorder="1" applyAlignment="1">
      <alignment horizontal="left" vertical="center" shrinkToFit="1"/>
    </xf>
    <xf numFmtId="41" fontId="12" fillId="0" borderId="13" xfId="21" applyFont="1" applyFill="1" applyBorder="1" applyAlignment="1">
      <alignment vertical="center"/>
    </xf>
    <xf numFmtId="41" fontId="10" fillId="0" borderId="0" xfId="21" applyFont="1" applyBorder="1" applyAlignment="1">
      <alignment horizontal="right" vertical="center"/>
    </xf>
    <xf numFmtId="0" fontId="10" fillId="0" borderId="25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2" fillId="0" borderId="3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center" vertical="center"/>
    </xf>
    <xf numFmtId="41" fontId="10" fillId="0" borderId="1" xfId="21" applyFont="1" applyBorder="1" applyAlignment="1">
      <alignment vertical="center" shrinkToFit="1"/>
    </xf>
    <xf numFmtId="0" fontId="10" fillId="0" borderId="13" xfId="0" applyFont="1" applyBorder="1" applyAlignment="1">
      <alignment horizontal="left" vertical="center"/>
    </xf>
    <xf numFmtId="41" fontId="0" fillId="0" borderId="0" xfId="21" applyFont="1" applyAlignment="1">
      <alignment vertical="center"/>
    </xf>
    <xf numFmtId="41" fontId="0" fillId="0" borderId="0" xfId="21" applyFont="1" applyAlignment="1">
      <alignment horizontal="center" vertical="distributed" wrapText="1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1" fontId="10" fillId="0" borderId="4" xfId="2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41" fontId="10" fillId="0" borderId="26" xfId="21" applyFont="1" applyBorder="1" applyAlignment="1">
      <alignment horizontal="center" vertical="center"/>
    </xf>
    <xf numFmtId="41" fontId="11" fillId="0" borderId="46" xfId="2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1" fontId="13" fillId="0" borderId="7" xfId="21" applyFont="1" applyBorder="1" applyAlignment="1">
      <alignment horizontal="center" vertical="center"/>
    </xf>
    <xf numFmtId="41" fontId="13" fillId="0" borderId="21" xfId="0" applyNumberFormat="1" applyFont="1" applyBorder="1" applyAlignment="1">
      <alignment vertical="center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1" fontId="0" fillId="0" borderId="0" xfId="21" applyFont="1" applyBorder="1" applyAlignment="1">
      <alignment vertical="center" shrinkToFit="1"/>
    </xf>
    <xf numFmtId="0" fontId="10" fillId="0" borderId="47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41" fontId="10" fillId="0" borderId="9" xfId="21" applyFont="1" applyBorder="1" applyAlignment="1">
      <alignment vertical="center"/>
    </xf>
    <xf numFmtId="41" fontId="10" fillId="0" borderId="36" xfId="21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41" fontId="10" fillId="0" borderId="49" xfId="21" applyFont="1" applyBorder="1" applyAlignment="1">
      <alignment vertical="center" shrinkToFit="1"/>
    </xf>
    <xf numFmtId="41" fontId="17" fillId="2" borderId="50" xfId="2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41" fontId="11" fillId="0" borderId="6" xfId="0" applyNumberFormat="1" applyFont="1" applyBorder="1" applyAlignment="1">
      <alignment horizontal="left" vertical="center" shrinkToFit="1"/>
    </xf>
    <xf numFmtId="41" fontId="13" fillId="0" borderId="6" xfId="0" applyNumberFormat="1" applyFont="1" applyBorder="1" applyAlignment="1">
      <alignment horizontal="left" vertical="center" shrinkToFit="1"/>
    </xf>
    <xf numFmtId="41" fontId="10" fillId="0" borderId="6" xfId="0" applyNumberFormat="1" applyFont="1" applyBorder="1" applyAlignment="1">
      <alignment horizontal="left" vertical="center" shrinkToFit="1"/>
    </xf>
    <xf numFmtId="41" fontId="10" fillId="0" borderId="18" xfId="0" applyNumberFormat="1" applyFont="1" applyBorder="1" applyAlignment="1">
      <alignment horizontal="left" vertical="center" shrinkToFit="1"/>
    </xf>
    <xf numFmtId="41" fontId="12" fillId="0" borderId="6" xfId="0" applyNumberFormat="1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3" fontId="24" fillId="0" borderId="6" xfId="0" applyNumberFormat="1" applyFont="1" applyBorder="1" applyAlignment="1">
      <alignment horizontal="right" vertical="center" wrapText="1"/>
    </xf>
    <xf numFmtId="41" fontId="10" fillId="0" borderId="28" xfId="21" applyFont="1" applyBorder="1" applyAlignment="1">
      <alignment horizontal="center" vertical="center"/>
    </xf>
    <xf numFmtId="41" fontId="10" fillId="0" borderId="56" xfId="2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1" fontId="10" fillId="0" borderId="57" xfId="0" applyNumberFormat="1" applyFont="1" applyBorder="1" applyAlignment="1">
      <alignment horizontal="center" vertical="center"/>
    </xf>
    <xf numFmtId="41" fontId="12" fillId="0" borderId="9" xfId="21" applyFont="1" applyBorder="1" applyAlignment="1">
      <alignment vertical="center"/>
    </xf>
    <xf numFmtId="41" fontId="10" fillId="0" borderId="0" xfId="21" applyFont="1" applyFill="1" applyBorder="1" applyAlignment="1">
      <alignment vertical="center" shrinkToFit="1"/>
    </xf>
    <xf numFmtId="41" fontId="12" fillId="0" borderId="26" xfId="21" applyFont="1" applyBorder="1" applyAlignment="1">
      <alignment vertical="center"/>
    </xf>
    <xf numFmtId="41" fontId="12" fillId="0" borderId="9" xfId="2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1" fontId="12" fillId="0" borderId="9" xfId="0" applyNumberFormat="1" applyFont="1" applyBorder="1" applyAlignment="1">
      <alignment horizontal="center" vertical="center"/>
    </xf>
    <xf numFmtId="41" fontId="10" fillId="0" borderId="48" xfId="21" applyFont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41" fontId="0" fillId="0" borderId="0" xfId="0" applyNumberFormat="1" applyAlignment="1">
      <alignment vertical="center"/>
    </xf>
    <xf numFmtId="0" fontId="10" fillId="0" borderId="37" xfId="0" applyFont="1" applyBorder="1" applyAlignment="1">
      <alignment horizontal="center" vertical="center"/>
    </xf>
    <xf numFmtId="41" fontId="10" fillId="0" borderId="1" xfId="21" applyFont="1" applyBorder="1" applyAlignment="1">
      <alignment horizontal="center" vertical="center"/>
    </xf>
    <xf numFmtId="41" fontId="10" fillId="0" borderId="1" xfId="2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wrapText="1" shrinkToFit="1"/>
    </xf>
    <xf numFmtId="0" fontId="12" fillId="0" borderId="26" xfId="0" applyFont="1" applyFill="1" applyBorder="1" applyAlignment="1">
      <alignment horizontal="left" vertical="center"/>
    </xf>
    <xf numFmtId="0" fontId="10" fillId="0" borderId="38" xfId="0" applyFont="1" applyBorder="1" applyAlignment="1">
      <alignment horizontal="left" vertical="center" wrapText="1" shrinkToFit="1"/>
    </xf>
    <xf numFmtId="0" fontId="10" fillId="0" borderId="28" xfId="0" applyFont="1" applyBorder="1" applyAlignment="1">
      <alignment horizontal="left" vertical="center" wrapText="1" shrinkToFit="1"/>
    </xf>
    <xf numFmtId="0" fontId="10" fillId="0" borderId="9" xfId="0" applyFont="1" applyBorder="1" applyAlignment="1">
      <alignment horizontal="left" vertical="center" wrapText="1" shrinkToFit="1"/>
    </xf>
    <xf numFmtId="0" fontId="10" fillId="0" borderId="47" xfId="0" applyFont="1" applyBorder="1" applyAlignment="1">
      <alignment horizontal="left" vertical="center" wrapText="1" shrinkToFit="1"/>
    </xf>
    <xf numFmtId="41" fontId="10" fillId="0" borderId="27" xfId="21" applyFont="1" applyBorder="1" applyAlignment="1">
      <alignment horizontal="right" vertical="center"/>
    </xf>
    <xf numFmtId="9" fontId="0" fillId="0" borderId="0" xfId="20" applyFont="1" applyAlignment="1">
      <alignment vertical="center"/>
    </xf>
    <xf numFmtId="9" fontId="10" fillId="0" borderId="5" xfId="20" applyFont="1" applyBorder="1" applyAlignment="1">
      <alignment vertical="center"/>
    </xf>
    <xf numFmtId="9" fontId="4" fillId="0" borderId="0" xfId="20" applyFont="1" applyBorder="1" applyAlignment="1">
      <alignment horizontal="center" vertical="center"/>
    </xf>
    <xf numFmtId="9" fontId="10" fillId="0" borderId="0" xfId="20" applyFont="1" applyBorder="1" applyAlignment="1">
      <alignment vertical="center"/>
    </xf>
    <xf numFmtId="9" fontId="10" fillId="0" borderId="2" xfId="20" applyFont="1" applyBorder="1" applyAlignment="1">
      <alignment vertical="center"/>
    </xf>
    <xf numFmtId="9" fontId="10" fillId="0" borderId="1" xfId="20" applyFont="1" applyBorder="1" applyAlignment="1">
      <alignment vertical="center"/>
    </xf>
    <xf numFmtId="9" fontId="3" fillId="0" borderId="0" xfId="20" applyFont="1" applyBorder="1" applyAlignment="1">
      <alignment vertical="center"/>
    </xf>
    <xf numFmtId="9" fontId="3" fillId="0" borderId="1" xfId="20" applyFont="1" applyBorder="1" applyAlignment="1">
      <alignment vertical="center"/>
    </xf>
    <xf numFmtId="9" fontId="3" fillId="0" borderId="0" xfId="20" applyFont="1" applyAlignment="1">
      <alignment vertical="center"/>
    </xf>
    <xf numFmtId="41" fontId="13" fillId="2" borderId="5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9" fontId="0" fillId="0" borderId="0" xfId="20" applyFont="1" applyAlignment="1">
      <alignment vertical="center" shrinkToFit="1"/>
    </xf>
    <xf numFmtId="0" fontId="0" fillId="0" borderId="6" xfId="0" applyBorder="1" applyAlignment="1">
      <alignment vertical="center" shrinkToFit="1"/>
    </xf>
    <xf numFmtId="176" fontId="10" fillId="0" borderId="45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1" fontId="11" fillId="0" borderId="46" xfId="21" applyFont="1" applyFill="1" applyBorder="1" applyAlignment="1">
      <alignment horizontal="center" vertical="center"/>
    </xf>
    <xf numFmtId="41" fontId="11" fillId="0" borderId="6" xfId="21" applyFont="1" applyFill="1" applyBorder="1" applyAlignment="1">
      <alignment horizontal="center" vertical="center"/>
    </xf>
    <xf numFmtId="41" fontId="11" fillId="0" borderId="14" xfId="21" applyFont="1" applyFill="1" applyBorder="1" applyAlignment="1">
      <alignment horizontal="center" vertical="center"/>
    </xf>
    <xf numFmtId="41" fontId="13" fillId="0" borderId="7" xfId="21" applyFont="1" applyFill="1" applyBorder="1" applyAlignment="1">
      <alignment horizontal="center" vertical="center"/>
    </xf>
    <xf numFmtId="41" fontId="11" fillId="4" borderId="6" xfId="2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41" fontId="11" fillId="4" borderId="46" xfId="21" applyFont="1" applyFill="1" applyBorder="1" applyAlignment="1">
      <alignment horizontal="center" vertical="center"/>
    </xf>
    <xf numFmtId="41" fontId="11" fillId="4" borderId="14" xfId="2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center" vertical="center" shrinkToFit="1"/>
    </xf>
    <xf numFmtId="183" fontId="11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21" applyFont="1" applyFill="1" applyBorder="1" applyAlignment="1">
      <alignment horizontal="center" vertical="center"/>
    </xf>
    <xf numFmtId="41" fontId="12" fillId="0" borderId="0" xfId="2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179" fontId="26" fillId="0" borderId="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179" fontId="28" fillId="0" borderId="0" xfId="0" applyNumberFormat="1" applyFont="1" applyBorder="1" applyAlignment="1">
      <alignment horizontal="center" vertical="center" shrinkToFit="1"/>
    </xf>
    <xf numFmtId="41" fontId="29" fillId="0" borderId="0" xfId="0" applyNumberFormat="1" applyFont="1" applyBorder="1" applyAlignment="1">
      <alignment horizontal="center" vertical="center"/>
    </xf>
    <xf numFmtId="41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7" fontId="27" fillId="0" borderId="0" xfId="0" applyNumberFormat="1" applyFont="1" applyBorder="1" applyAlignment="1">
      <alignment horizontal="center" vertical="center" shrinkToFit="1"/>
    </xf>
    <xf numFmtId="41" fontId="29" fillId="0" borderId="0" xfId="21" applyFont="1" applyBorder="1" applyAlignment="1">
      <alignment vertical="center"/>
    </xf>
    <xf numFmtId="41" fontId="13" fillId="4" borderId="7" xfId="21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41" fontId="11" fillId="5" borderId="46" xfId="21" applyFont="1" applyFill="1" applyBorder="1" applyAlignment="1">
      <alignment horizontal="center" vertical="center"/>
    </xf>
    <xf numFmtId="41" fontId="11" fillId="5" borderId="6" xfId="21" applyFont="1" applyFill="1" applyBorder="1" applyAlignment="1">
      <alignment horizontal="center" vertical="center"/>
    </xf>
    <xf numFmtId="41" fontId="11" fillId="5" borderId="14" xfId="21" applyFont="1" applyFill="1" applyBorder="1" applyAlignment="1">
      <alignment horizontal="center" vertical="center"/>
    </xf>
    <xf numFmtId="41" fontId="13" fillId="5" borderId="7" xfId="21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41" fontId="11" fillId="6" borderId="46" xfId="21" applyFont="1" applyFill="1" applyBorder="1" applyAlignment="1">
      <alignment horizontal="center" vertical="center"/>
    </xf>
    <xf numFmtId="41" fontId="11" fillId="6" borderId="6" xfId="21" applyFont="1" applyFill="1" applyBorder="1" applyAlignment="1">
      <alignment horizontal="center" vertical="center"/>
    </xf>
    <xf numFmtId="41" fontId="11" fillId="6" borderId="14" xfId="21" applyFont="1" applyFill="1" applyBorder="1" applyAlignment="1">
      <alignment horizontal="center" vertical="center"/>
    </xf>
    <xf numFmtId="41" fontId="13" fillId="6" borderId="7" xfId="2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2" fillId="2" borderId="18" xfId="0" applyNumberFormat="1" applyFont="1" applyFill="1" applyBorder="1" applyAlignment="1">
      <alignment horizontal="center" vertical="center"/>
    </xf>
    <xf numFmtId="41" fontId="12" fillId="2" borderId="18" xfId="21" applyFont="1" applyFill="1" applyBorder="1" applyAlignment="1">
      <alignment horizontal="center" vertical="center"/>
    </xf>
    <xf numFmtId="41" fontId="12" fillId="2" borderId="21" xfId="2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41" fontId="12" fillId="2" borderId="21" xfId="0" applyNumberFormat="1" applyFont="1" applyFill="1" applyBorder="1" applyAlignment="1">
      <alignment horizontal="center" vertical="center"/>
    </xf>
    <xf numFmtId="41" fontId="31" fillId="0" borderId="0" xfId="21" applyFont="1" applyBorder="1" applyAlignment="1">
      <alignment horizontal="center" vertical="center" shrinkToFit="1"/>
    </xf>
    <xf numFmtId="41" fontId="27" fillId="0" borderId="0" xfId="0" applyNumberFormat="1" applyFont="1" applyBorder="1" applyAlignment="1">
      <alignment horizontal="center" vertical="center" shrinkToFit="1"/>
    </xf>
    <xf numFmtId="41" fontId="31" fillId="0" borderId="0" xfId="0" applyNumberFormat="1" applyFont="1" applyBorder="1" applyAlignment="1">
      <alignment horizontal="center" vertical="center" shrinkToFit="1"/>
    </xf>
    <xf numFmtId="176" fontId="10" fillId="0" borderId="5" xfId="21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41" fontId="10" fillId="0" borderId="25" xfId="2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176" fontId="10" fillId="0" borderId="36" xfId="21" applyNumberFormat="1" applyFont="1" applyBorder="1" applyAlignment="1">
      <alignment horizontal="center" vertical="center"/>
    </xf>
    <xf numFmtId="41" fontId="10" fillId="0" borderId="40" xfId="21" applyFont="1" applyFill="1" applyBorder="1" applyAlignment="1">
      <alignment vertical="center" shrinkToFit="1"/>
    </xf>
    <xf numFmtId="0" fontId="10" fillId="0" borderId="2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0" xfId="0" applyFont="1" applyBorder="1" applyAlignment="1">
      <alignment vertical="center" shrinkToFit="1"/>
    </xf>
    <xf numFmtId="0" fontId="10" fillId="0" borderId="28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 shrinkToFit="1"/>
    </xf>
    <xf numFmtId="0" fontId="10" fillId="0" borderId="6" xfId="0" applyFont="1" applyBorder="1" applyAlignment="1">
      <alignment vertical="center" wrapText="1" shrinkToFit="1"/>
    </xf>
    <xf numFmtId="0" fontId="12" fillId="0" borderId="2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41" fontId="13" fillId="0" borderId="27" xfId="21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shrinkToFit="1"/>
    </xf>
    <xf numFmtId="41" fontId="13" fillId="0" borderId="9" xfId="0" applyNumberFormat="1" applyFont="1" applyBorder="1" applyAlignment="1">
      <alignment horizontal="left" vertical="center" shrinkToFit="1"/>
    </xf>
    <xf numFmtId="41" fontId="12" fillId="0" borderId="24" xfId="2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1" fontId="10" fillId="0" borderId="2" xfId="20" applyNumberFormat="1" applyFont="1" applyBorder="1" applyAlignment="1">
      <alignment vertical="center"/>
    </xf>
    <xf numFmtId="9" fontId="10" fillId="0" borderId="29" xfId="20" applyFont="1" applyBorder="1" applyAlignment="1">
      <alignment vertical="center"/>
    </xf>
    <xf numFmtId="9" fontId="10" fillId="0" borderId="24" xfId="20" applyFont="1" applyBorder="1" applyAlignment="1">
      <alignment vertical="center"/>
    </xf>
    <xf numFmtId="183" fontId="0" fillId="0" borderId="0" xfId="0" applyNumberFormat="1" applyAlignment="1">
      <alignment vertical="center"/>
    </xf>
    <xf numFmtId="0" fontId="11" fillId="6" borderId="6" xfId="0" applyFont="1" applyFill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/>
    </xf>
    <xf numFmtId="41" fontId="13" fillId="0" borderId="62" xfId="21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41" fontId="13" fillId="0" borderId="6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9" fontId="15" fillId="0" borderId="50" xfId="20" applyFont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41" fontId="18" fillId="2" borderId="0" xfId="2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176" fontId="18" fillId="2" borderId="0" xfId="0" applyNumberFormat="1" applyFont="1" applyFill="1" applyBorder="1" applyAlignment="1">
      <alignment horizontal="center" vertical="center"/>
    </xf>
    <xf numFmtId="177" fontId="18" fillId="2" borderId="0" xfId="0" applyNumberFormat="1" applyFont="1" applyFill="1" applyBorder="1" applyAlignment="1">
      <alignment horizontal="center" vertical="center"/>
    </xf>
    <xf numFmtId="41" fontId="18" fillId="2" borderId="4" xfId="21" applyFont="1" applyFill="1" applyBorder="1" applyAlignment="1">
      <alignment vertical="center"/>
    </xf>
    <xf numFmtId="0" fontId="12" fillId="0" borderId="43" xfId="0" applyFont="1" applyBorder="1" applyAlignment="1">
      <alignment horizontal="left" vertical="center" wrapText="1"/>
    </xf>
    <xf numFmtId="41" fontId="10" fillId="0" borderId="40" xfId="21" applyFont="1" applyFill="1" applyBorder="1" applyAlignment="1">
      <alignment vertical="center"/>
    </xf>
    <xf numFmtId="41" fontId="15" fillId="0" borderId="58" xfId="21" applyFont="1" applyBorder="1" applyAlignment="1">
      <alignment horizontal="center" vertical="center" shrinkToFit="1"/>
    </xf>
    <xf numFmtId="41" fontId="10" fillId="0" borderId="29" xfId="20" applyNumberFormat="1" applyFont="1" applyBorder="1" applyAlignment="1">
      <alignment vertical="center"/>
    </xf>
    <xf numFmtId="41" fontId="10" fillId="0" borderId="43" xfId="20" applyNumberFormat="1" applyFont="1" applyBorder="1" applyAlignment="1">
      <alignment vertical="center"/>
    </xf>
    <xf numFmtId="41" fontId="10" fillId="0" borderId="31" xfId="20" applyNumberFormat="1" applyFont="1" applyBorder="1" applyAlignment="1">
      <alignment vertical="center"/>
    </xf>
    <xf numFmtId="41" fontId="10" fillId="0" borderId="14" xfId="20" applyNumberFormat="1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41" fontId="10" fillId="0" borderId="13" xfId="21" applyFont="1" applyBorder="1" applyAlignment="1">
      <alignment vertical="center"/>
    </xf>
    <xf numFmtId="41" fontId="12" fillId="0" borderId="13" xfId="0" applyNumberFormat="1" applyFont="1" applyBorder="1" applyAlignment="1">
      <alignment horizontal="center" vertical="center"/>
    </xf>
    <xf numFmtId="41" fontId="10" fillId="0" borderId="32" xfId="21" applyFont="1" applyBorder="1" applyAlignment="1">
      <alignment vertical="center"/>
    </xf>
    <xf numFmtId="41" fontId="10" fillId="0" borderId="33" xfId="21" applyFont="1" applyBorder="1" applyAlignment="1">
      <alignment vertical="center"/>
    </xf>
    <xf numFmtId="41" fontId="10" fillId="0" borderId="37" xfId="21" applyFont="1" applyBorder="1" applyAlignment="1">
      <alignment vertical="center"/>
    </xf>
    <xf numFmtId="41" fontId="10" fillId="0" borderId="14" xfId="0" applyNumberFormat="1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left" vertical="center"/>
    </xf>
    <xf numFmtId="41" fontId="10" fillId="0" borderId="31" xfId="0" applyNumberFormat="1" applyFont="1" applyBorder="1" applyAlignment="1">
      <alignment horizontal="left" vertical="center" shrinkToFit="1"/>
    </xf>
    <xf numFmtId="41" fontId="10" fillId="0" borderId="31" xfId="0" applyNumberFormat="1" applyFont="1" applyBorder="1" applyAlignment="1">
      <alignment horizontal="center" vertical="center" wrapText="1"/>
    </xf>
    <xf numFmtId="41" fontId="10" fillId="0" borderId="31" xfId="0" applyNumberFormat="1" applyFont="1" applyBorder="1" applyAlignment="1">
      <alignment horizontal="left" vertical="center"/>
    </xf>
    <xf numFmtId="41" fontId="10" fillId="0" borderId="29" xfId="0" applyNumberFormat="1" applyFont="1" applyBorder="1" applyAlignment="1">
      <alignment horizontal="left" vertical="center"/>
    </xf>
    <xf numFmtId="41" fontId="10" fillId="0" borderId="13" xfId="0" applyNumberFormat="1" applyFont="1" applyBorder="1" applyAlignment="1">
      <alignment horizontal="left" vertical="center"/>
    </xf>
    <xf numFmtId="41" fontId="10" fillId="0" borderId="29" xfId="0" applyNumberFormat="1" applyFont="1" applyBorder="1" applyAlignment="1">
      <alignment horizontal="center" vertical="center" wrapText="1"/>
    </xf>
    <xf numFmtId="41" fontId="10" fillId="0" borderId="24" xfId="0" applyNumberFormat="1" applyFont="1" applyBorder="1" applyAlignment="1">
      <alignment horizontal="left" vertical="center"/>
    </xf>
    <xf numFmtId="41" fontId="10" fillId="0" borderId="14" xfId="0" applyNumberFormat="1" applyFont="1" applyBorder="1" applyAlignment="1">
      <alignment horizontal="left" vertical="center" wrapText="1"/>
    </xf>
    <xf numFmtId="41" fontId="12" fillId="0" borderId="13" xfId="0" applyNumberFormat="1" applyFont="1" applyBorder="1" applyAlignment="1">
      <alignment horizontal="left" vertical="center"/>
    </xf>
    <xf numFmtId="41" fontId="10" fillId="0" borderId="6" xfId="0" applyNumberFormat="1" applyFont="1" applyBorder="1" applyAlignment="1">
      <alignment horizontal="left" vertical="center"/>
    </xf>
    <xf numFmtId="41" fontId="12" fillId="2" borderId="66" xfId="21" applyFont="1" applyFill="1" applyBorder="1" applyAlignment="1">
      <alignment vertical="center"/>
    </xf>
    <xf numFmtId="0" fontId="12" fillId="2" borderId="66" xfId="0" applyFont="1" applyFill="1" applyBorder="1" applyAlignment="1">
      <alignment horizontal="center" vertical="center"/>
    </xf>
    <xf numFmtId="176" fontId="12" fillId="2" borderId="66" xfId="0" applyNumberFormat="1" applyFont="1" applyFill="1" applyBorder="1" applyAlignment="1">
      <alignment horizontal="center" vertical="center"/>
    </xf>
    <xf numFmtId="177" fontId="12" fillId="2" borderId="66" xfId="0" applyNumberFormat="1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vertical="center"/>
    </xf>
    <xf numFmtId="41" fontId="12" fillId="2" borderId="67" xfId="21" applyFont="1" applyFill="1" applyBorder="1" applyAlignment="1">
      <alignment vertical="center"/>
    </xf>
    <xf numFmtId="41" fontId="17" fillId="2" borderId="50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176" fontId="10" fillId="0" borderId="1" xfId="21" applyNumberFormat="1" applyFont="1" applyBorder="1" applyAlignment="1">
      <alignment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182" fontId="10" fillId="0" borderId="1" xfId="0" applyNumberFormat="1" applyFont="1" applyBorder="1" applyAlignment="1">
      <alignment vertical="center" shrinkToFit="1"/>
    </xf>
    <xf numFmtId="177" fontId="10" fillId="0" borderId="1" xfId="0" applyNumberFormat="1" applyFont="1" applyBorder="1" applyAlignment="1">
      <alignment vertical="center" shrinkToFit="1"/>
    </xf>
    <xf numFmtId="41" fontId="10" fillId="0" borderId="43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right" vertical="center" wrapText="1"/>
    </xf>
    <xf numFmtId="41" fontId="13" fillId="2" borderId="28" xfId="21" applyFont="1" applyFill="1" applyBorder="1" applyAlignment="1">
      <alignment vertical="center"/>
    </xf>
    <xf numFmtId="41" fontId="11" fillId="0" borderId="12" xfId="0" applyNumberFormat="1" applyFont="1" applyBorder="1" applyAlignment="1">
      <alignment horizontal="left" vertical="center" shrinkToFit="1"/>
    </xf>
    <xf numFmtId="41" fontId="13" fillId="0" borderId="12" xfId="0" applyNumberFormat="1" applyFont="1" applyBorder="1" applyAlignment="1">
      <alignment horizontal="left" vertical="center" shrinkToFit="1"/>
    </xf>
    <xf numFmtId="41" fontId="11" fillId="0" borderId="19" xfId="0" applyNumberFormat="1" applyFont="1" applyBorder="1" applyAlignment="1">
      <alignment horizontal="left" vertical="center" shrinkToFit="1"/>
    </xf>
    <xf numFmtId="41" fontId="11" fillId="0" borderId="11" xfId="0" applyNumberFormat="1" applyFont="1" applyBorder="1" applyAlignment="1">
      <alignment horizontal="left" vertical="center" shrinkToFit="1"/>
    </xf>
    <xf numFmtId="41" fontId="13" fillId="7" borderId="6" xfId="0" applyNumberFormat="1" applyFont="1" applyFill="1" applyBorder="1" applyAlignment="1">
      <alignment horizontal="center" vertical="center" shrinkToFit="1"/>
    </xf>
    <xf numFmtId="41" fontId="11" fillId="0" borderId="26" xfId="0" applyNumberFormat="1" applyFont="1" applyBorder="1" applyAlignment="1">
      <alignment horizontal="left" vertical="center" shrinkToFit="1"/>
    </xf>
    <xf numFmtId="41" fontId="11" fillId="7" borderId="6" xfId="0" applyNumberFormat="1" applyFont="1" applyFill="1" applyBorder="1" applyAlignment="1">
      <alignment horizontal="center" vertical="center" shrinkToFit="1"/>
    </xf>
    <xf numFmtId="41" fontId="11" fillId="7" borderId="18" xfId="0" applyNumberFormat="1" applyFont="1" applyFill="1" applyBorder="1" applyAlignment="1">
      <alignment horizontal="center" vertical="center" shrinkToFit="1"/>
    </xf>
    <xf numFmtId="41" fontId="10" fillId="0" borderId="2" xfId="0" applyNumberFormat="1" applyFont="1" applyBorder="1" applyAlignment="1">
      <alignment horizontal="left" vertical="center"/>
    </xf>
    <xf numFmtId="41" fontId="13" fillId="0" borderId="26" xfId="0" applyNumberFormat="1" applyFont="1" applyBorder="1" applyAlignment="1">
      <alignment horizontal="left" vertical="center" shrinkToFit="1"/>
    </xf>
    <xf numFmtId="41" fontId="0" fillId="0" borderId="0" xfId="0" applyNumberFormat="1" applyAlignment="1">
      <alignment vertical="center" shrinkToFit="1"/>
    </xf>
    <xf numFmtId="177" fontId="0" fillId="0" borderId="0" xfId="0" applyNumberFormat="1" applyAlignment="1">
      <alignment horizontal="center" vertical="distributed" wrapText="1"/>
    </xf>
    <xf numFmtId="0" fontId="13" fillId="0" borderId="3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41" fontId="13" fillId="0" borderId="28" xfId="0" applyNumberFormat="1" applyFont="1" applyBorder="1" applyAlignment="1">
      <alignment horizontal="left" vertical="center" shrinkToFit="1"/>
    </xf>
    <xf numFmtId="41" fontId="13" fillId="7" borderId="26" xfId="0" applyNumberFormat="1" applyFont="1" applyFill="1" applyBorder="1" applyAlignment="1">
      <alignment horizontal="center" vertical="center" shrinkToFit="1"/>
    </xf>
    <xf numFmtId="41" fontId="13" fillId="0" borderId="57" xfId="0" applyNumberFormat="1" applyFont="1" applyBorder="1" applyAlignment="1">
      <alignment horizontal="left" vertical="center" shrinkToFit="1"/>
    </xf>
    <xf numFmtId="41" fontId="13" fillId="2" borderId="68" xfId="0" applyNumberFormat="1" applyFont="1" applyFill="1" applyBorder="1" applyAlignment="1">
      <alignment horizontal="center" vertical="center" shrinkToFit="1"/>
    </xf>
    <xf numFmtId="41" fontId="13" fillId="2" borderId="17" xfId="0" applyNumberFormat="1" applyFont="1" applyFill="1" applyBorder="1" applyAlignment="1">
      <alignment horizontal="center" vertical="center" shrinkToFit="1"/>
    </xf>
    <xf numFmtId="41" fontId="13" fillId="0" borderId="25" xfId="0" applyNumberFormat="1" applyFont="1" applyBorder="1" applyAlignment="1">
      <alignment horizontal="left" vertical="center" shrinkToFit="1"/>
    </xf>
    <xf numFmtId="0" fontId="13" fillId="0" borderId="70" xfId="0" applyFont="1" applyBorder="1" applyAlignment="1">
      <alignment horizontal="center" vertical="center" shrinkToFit="1"/>
    </xf>
    <xf numFmtId="41" fontId="10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 shrinkToFit="1"/>
    </xf>
    <xf numFmtId="41" fontId="10" fillId="0" borderId="43" xfId="2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 shrinkToFit="1"/>
    </xf>
    <xf numFmtId="41" fontId="13" fillId="0" borderId="71" xfId="0" applyNumberFormat="1" applyFont="1" applyBorder="1" applyAlignment="1">
      <alignment horizontal="left" vertical="center" shrinkToFit="1"/>
    </xf>
    <xf numFmtId="41" fontId="13" fillId="2" borderId="72" xfId="0" applyNumberFormat="1" applyFont="1" applyFill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 shrinkToFit="1"/>
    </xf>
    <xf numFmtId="0" fontId="0" fillId="0" borderId="28" xfId="0" applyBorder="1" applyAlignment="1">
      <alignment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74" xfId="0" applyFont="1" applyBorder="1" applyAlignment="1">
      <alignment horizontal="left" vertical="center" shrinkToFit="1"/>
    </xf>
    <xf numFmtId="41" fontId="11" fillId="7" borderId="26" xfId="0" applyNumberFormat="1" applyFont="1" applyFill="1" applyBorder="1" applyAlignment="1">
      <alignment horizontal="center" vertical="center" shrinkToFit="1"/>
    </xf>
    <xf numFmtId="41" fontId="11" fillId="0" borderId="25" xfId="0" applyNumberFormat="1" applyFont="1" applyBorder="1" applyAlignment="1">
      <alignment horizontal="left" vertical="center" shrinkToFit="1"/>
    </xf>
    <xf numFmtId="0" fontId="11" fillId="0" borderId="75" xfId="0" applyFont="1" applyBorder="1" applyAlignment="1">
      <alignment horizontal="left" vertical="center" shrinkToFit="1"/>
    </xf>
    <xf numFmtId="0" fontId="10" fillId="0" borderId="74" xfId="0" applyFont="1" applyBorder="1" applyAlignment="1">
      <alignment horizontal="left" vertical="center" shrinkToFit="1"/>
    </xf>
    <xf numFmtId="41" fontId="10" fillId="0" borderId="2" xfId="2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33" fillId="0" borderId="6" xfId="0" applyNumberFormat="1" applyFont="1" applyBorder="1" applyAlignment="1">
      <alignment horizontal="right" vertical="center" wrapText="1"/>
    </xf>
    <xf numFmtId="0" fontId="34" fillId="0" borderId="6" xfId="0" applyFont="1" applyBorder="1" applyAlignment="1">
      <alignment horizontal="center" vertical="center" wrapText="1"/>
    </xf>
    <xf numFmtId="41" fontId="11" fillId="0" borderId="71" xfId="0" applyNumberFormat="1" applyFont="1" applyBorder="1" applyAlignment="1">
      <alignment horizontal="left" vertical="center" shrinkToFit="1"/>
    </xf>
    <xf numFmtId="42" fontId="10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1" fontId="10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1" fontId="13" fillId="2" borderId="58" xfId="20" applyNumberFormat="1" applyFont="1" applyFill="1" applyBorder="1" applyAlignment="1">
      <alignment vertical="center"/>
    </xf>
    <xf numFmtId="41" fontId="12" fillId="2" borderId="76" xfId="0" applyNumberFormat="1" applyFont="1" applyFill="1" applyBorder="1" applyAlignment="1">
      <alignment vertical="center"/>
    </xf>
    <xf numFmtId="41" fontId="12" fillId="0" borderId="0" xfId="20" applyNumberFormat="1" applyFont="1" applyBorder="1" applyAlignment="1">
      <alignment vertical="center"/>
    </xf>
    <xf numFmtId="41" fontId="12" fillId="0" borderId="29" xfId="20" applyNumberFormat="1" applyFont="1" applyBorder="1" applyAlignment="1">
      <alignment vertical="center"/>
    </xf>
    <xf numFmtId="41" fontId="12" fillId="0" borderId="31" xfId="20" applyNumberFormat="1" applyFont="1" applyBorder="1" applyAlignment="1">
      <alignment vertical="center"/>
    </xf>
    <xf numFmtId="41" fontId="10" fillId="0" borderId="5" xfId="21" applyFont="1" applyBorder="1" applyAlignment="1">
      <alignment vertical="center"/>
    </xf>
    <xf numFmtId="41" fontId="10" fillId="0" borderId="30" xfId="0" applyNumberFormat="1" applyFont="1" applyBorder="1" applyAlignment="1">
      <alignment horizontal="left" vertical="center"/>
    </xf>
    <xf numFmtId="0" fontId="10" fillId="0" borderId="43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11" fillId="4" borderId="30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41" fontId="12" fillId="0" borderId="43" xfId="20" applyNumberFormat="1" applyFont="1" applyBorder="1" applyAlignment="1">
      <alignment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1" fontId="12" fillId="0" borderId="26" xfId="0" applyNumberFormat="1" applyFont="1" applyBorder="1" applyAlignment="1">
      <alignment horizontal="left" vertical="center" shrinkToFit="1"/>
    </xf>
    <xf numFmtId="41" fontId="0" fillId="0" borderId="6" xfId="21" applyFont="1" applyBorder="1" applyAlignment="1">
      <alignment vertical="center" shrinkToFit="1"/>
    </xf>
    <xf numFmtId="41" fontId="35" fillId="0" borderId="6" xfId="21" applyFont="1" applyBorder="1" applyAlignment="1">
      <alignment vertical="center" shrinkToFit="1"/>
    </xf>
    <xf numFmtId="41" fontId="13" fillId="0" borderId="16" xfId="0" applyNumberFormat="1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6" fontId="10" fillId="0" borderId="0" xfId="21" applyNumberFormat="1" applyFont="1" applyBorder="1" applyAlignment="1">
      <alignment vertical="center" shrinkToFit="1"/>
    </xf>
    <xf numFmtId="0" fontId="10" fillId="0" borderId="33" xfId="0" applyFont="1" applyBorder="1" applyAlignment="1">
      <alignment horizontal="left" vertical="center"/>
    </xf>
    <xf numFmtId="177" fontId="10" fillId="0" borderId="5" xfId="0" applyNumberFormat="1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77" fontId="10" fillId="0" borderId="5" xfId="0" applyNumberFormat="1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 shrinkToFit="1"/>
    </xf>
    <xf numFmtId="0" fontId="11" fillId="5" borderId="30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41" fontId="11" fillId="8" borderId="46" xfId="21" applyFont="1" applyFill="1" applyBorder="1" applyAlignment="1">
      <alignment horizontal="center" vertical="center"/>
    </xf>
    <xf numFmtId="41" fontId="11" fillId="8" borderId="6" xfId="21" applyFont="1" applyFill="1" applyBorder="1" applyAlignment="1">
      <alignment horizontal="center" vertical="center"/>
    </xf>
    <xf numFmtId="41" fontId="11" fillId="8" borderId="14" xfId="21" applyFont="1" applyFill="1" applyBorder="1" applyAlignment="1">
      <alignment horizontal="center" vertical="center"/>
    </xf>
    <xf numFmtId="41" fontId="13" fillId="8" borderId="7" xfId="21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vertical="center"/>
    </xf>
    <xf numFmtId="0" fontId="11" fillId="4" borderId="30" xfId="0" applyFont="1" applyFill="1" applyBorder="1" applyAlignment="1">
      <alignment vertical="center" shrinkToFit="1"/>
    </xf>
    <xf numFmtId="0" fontId="11" fillId="4" borderId="30" xfId="0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0" fontId="11" fillId="4" borderId="26" xfId="0" applyFont="1" applyFill="1" applyBorder="1" applyAlignment="1">
      <alignment vertical="center" shrinkToFit="1"/>
    </xf>
    <xf numFmtId="41" fontId="10" fillId="0" borderId="0" xfId="21" applyFont="1" applyBorder="1" applyAlignment="1">
      <alignment horizontal="left" vertical="center" indent="1"/>
    </xf>
    <xf numFmtId="41" fontId="10" fillId="0" borderId="0" xfId="21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9" fontId="3" fillId="0" borderId="58" xfId="2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41" fontId="10" fillId="0" borderId="45" xfId="21" applyFont="1" applyBorder="1" applyAlignment="1">
      <alignment vertical="center" shrinkToFit="1"/>
    </xf>
    <xf numFmtId="41" fontId="10" fillId="0" borderId="1" xfId="21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41" fontId="10" fillId="0" borderId="36" xfId="21" applyFont="1" applyBorder="1" applyAlignment="1">
      <alignment vertical="center" shrinkToFit="1"/>
    </xf>
    <xf numFmtId="0" fontId="10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41" fontId="10" fillId="0" borderId="28" xfId="0" applyNumberFormat="1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1" fontId="13" fillId="0" borderId="46" xfId="21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5" borderId="30" xfId="0" applyFont="1" applyFill="1" applyBorder="1" applyAlignment="1">
      <alignment vertical="center"/>
    </xf>
    <xf numFmtId="0" fontId="11" fillId="5" borderId="26" xfId="0" applyFont="1" applyFill="1" applyBorder="1" applyAlignment="1">
      <alignment vertical="center"/>
    </xf>
    <xf numFmtId="0" fontId="11" fillId="0" borderId="30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5" borderId="30" xfId="0" applyFont="1" applyFill="1" applyBorder="1" applyAlignment="1">
      <alignment vertical="center" shrinkToFit="1"/>
    </xf>
    <xf numFmtId="0" fontId="11" fillId="5" borderId="26" xfId="0" applyFont="1" applyFill="1" applyBorder="1" applyAlignment="1">
      <alignment vertical="center" shrinkToFit="1"/>
    </xf>
    <xf numFmtId="0" fontId="11" fillId="0" borderId="54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5" borderId="54" xfId="0" applyFont="1" applyFill="1" applyBorder="1" applyAlignment="1">
      <alignment vertical="center"/>
    </xf>
    <xf numFmtId="0" fontId="11" fillId="5" borderId="51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33" fillId="0" borderId="6" xfId="0" applyNumberFormat="1" applyFont="1" applyBorder="1" applyAlignment="1">
      <alignment horizontal="right" vertical="center" wrapText="1"/>
    </xf>
    <xf numFmtId="41" fontId="33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3" fontId="33" fillId="7" borderId="6" xfId="0" applyNumberFormat="1" applyFont="1" applyFill="1" applyBorder="1" applyAlignment="1">
      <alignment horizontal="right" vertical="center" wrapText="1"/>
    </xf>
    <xf numFmtId="3" fontId="37" fillId="0" borderId="26" xfId="0" applyNumberFormat="1" applyFont="1" applyBorder="1" applyAlignment="1">
      <alignment horizontal="right" vertical="center" wrapText="1"/>
    </xf>
    <xf numFmtId="41" fontId="10" fillId="0" borderId="25" xfId="21" applyFont="1" applyBorder="1" applyAlignment="1">
      <alignment horizontal="center" vertical="center" shrinkToFit="1"/>
    </xf>
    <xf numFmtId="41" fontId="10" fillId="0" borderId="25" xfId="21" applyFont="1" applyBorder="1" applyAlignment="1">
      <alignment horizontal="left" vertical="center" shrinkToFit="1"/>
    </xf>
    <xf numFmtId="41" fontId="10" fillId="0" borderId="12" xfId="21" applyFont="1" applyBorder="1" applyAlignment="1">
      <alignment horizontal="left" vertical="center" shrinkToFit="1"/>
    </xf>
    <xf numFmtId="41" fontId="10" fillId="0" borderId="27" xfId="21" applyFont="1" applyBorder="1" applyAlignment="1">
      <alignment horizontal="center" vertical="center" shrinkToFit="1"/>
    </xf>
    <xf numFmtId="41" fontId="10" fillId="0" borderId="33" xfId="21" applyFont="1" applyFill="1" applyBorder="1" applyAlignment="1">
      <alignment horizontal="center" vertical="center" shrinkToFit="1"/>
    </xf>
    <xf numFmtId="41" fontId="0" fillId="0" borderId="0" xfId="21" applyFont="1" applyFill="1" applyBorder="1" applyAlignment="1">
      <alignment horizontal="center" vertical="center" shrinkToFit="1"/>
    </xf>
    <xf numFmtId="41" fontId="10" fillId="0" borderId="0" xfId="21" applyFont="1" applyFill="1" applyBorder="1" applyAlignment="1">
      <alignment vertical="center"/>
    </xf>
    <xf numFmtId="41" fontId="0" fillId="0" borderId="0" xfId="21" applyFont="1" applyBorder="1" applyAlignment="1">
      <alignment horizontal="center" vertical="center" shrinkToFit="1"/>
    </xf>
    <xf numFmtId="41" fontId="0" fillId="0" borderId="0" xfId="21" applyFont="1" applyBorder="1" applyAlignment="1">
      <alignment horizontal="center" vertical="center"/>
    </xf>
    <xf numFmtId="41" fontId="11" fillId="0" borderId="0" xfId="21" applyFont="1" applyBorder="1" applyAlignment="1">
      <alignment horizontal="center" vertical="center" shrinkToFit="1"/>
    </xf>
    <xf numFmtId="41" fontId="10" fillId="0" borderId="36" xfId="21" applyFont="1" applyBorder="1" applyAlignment="1">
      <alignment horizontal="center" vertical="center" shrinkToFit="1"/>
    </xf>
    <xf numFmtId="41" fontId="0" fillId="0" borderId="0" xfId="21" applyFont="1" applyBorder="1" applyAlignment="1">
      <alignment vertical="center"/>
    </xf>
    <xf numFmtId="41" fontId="10" fillId="0" borderId="32" xfId="21" applyFont="1" applyBorder="1" applyAlignment="1">
      <alignment vertical="center" shrinkToFit="1"/>
    </xf>
    <xf numFmtId="41" fontId="0" fillId="0" borderId="27" xfId="21" applyFont="1" applyBorder="1" applyAlignment="1">
      <alignment vertical="center"/>
    </xf>
    <xf numFmtId="41" fontId="10" fillId="0" borderId="32" xfId="21" applyFont="1" applyBorder="1" applyAlignment="1">
      <alignment vertical="center"/>
    </xf>
    <xf numFmtId="41" fontId="0" fillId="0" borderId="2" xfId="21" applyFont="1" applyBorder="1" applyAlignment="1">
      <alignment vertical="center"/>
    </xf>
    <xf numFmtId="41" fontId="0" fillId="0" borderId="0" xfId="21" applyFont="1" applyBorder="1" applyAlignment="1">
      <alignment vertical="center"/>
    </xf>
    <xf numFmtId="41" fontId="0" fillId="0" borderId="5" xfId="21" applyFont="1" applyBorder="1" applyAlignment="1">
      <alignment vertical="center"/>
    </xf>
    <xf numFmtId="41" fontId="10" fillId="0" borderId="33" xfId="21" applyFont="1" applyBorder="1" applyAlignment="1">
      <alignment horizontal="center" vertical="center"/>
    </xf>
    <xf numFmtId="41" fontId="10" fillId="0" borderId="3" xfId="21" applyFont="1" applyBorder="1" applyAlignment="1">
      <alignment vertical="center"/>
    </xf>
    <xf numFmtId="41" fontId="10" fillId="0" borderId="1" xfId="21" applyFont="1" applyBorder="1" applyAlignment="1">
      <alignment horizontal="left" vertical="center" shrinkToFit="1"/>
    </xf>
    <xf numFmtId="0" fontId="31" fillId="0" borderId="0" xfId="0" applyFont="1" applyBorder="1" applyAlignment="1">
      <alignment horizontal="center" vertical="center" shrinkToFit="1"/>
    </xf>
    <xf numFmtId="41" fontId="38" fillId="0" borderId="0" xfId="21" applyFont="1" applyBorder="1" applyAlignment="1">
      <alignment horizontal="left" vertical="center"/>
    </xf>
    <xf numFmtId="41" fontId="31" fillId="0" borderId="2" xfId="21" applyFont="1" applyBorder="1" applyAlignment="1">
      <alignment horizontal="left" vertical="center"/>
    </xf>
    <xf numFmtId="0" fontId="31" fillId="0" borderId="2" xfId="0" applyFont="1" applyBorder="1" applyAlignment="1">
      <alignment horizontal="center" vertical="center" shrinkToFit="1"/>
    </xf>
    <xf numFmtId="41" fontId="38" fillId="0" borderId="2" xfId="21" applyFont="1" applyBorder="1" applyAlignment="1">
      <alignment horizontal="left" vertical="center"/>
    </xf>
    <xf numFmtId="41" fontId="31" fillId="0" borderId="5" xfId="2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 shrinkToFit="1"/>
    </xf>
    <xf numFmtId="41" fontId="38" fillId="0" borderId="5" xfId="21" applyFont="1" applyBorder="1" applyAlignment="1">
      <alignment horizontal="left" vertical="center"/>
    </xf>
    <xf numFmtId="41" fontId="10" fillId="0" borderId="24" xfId="0" applyNumberFormat="1" applyFont="1" applyBorder="1" applyAlignment="1">
      <alignment horizontal="center" vertical="center" wrapText="1"/>
    </xf>
    <xf numFmtId="41" fontId="31" fillId="0" borderId="32" xfId="21" applyFont="1" applyBorder="1" applyAlignment="1">
      <alignment horizontal="left" vertical="center" shrinkToFit="1"/>
    </xf>
    <xf numFmtId="41" fontId="31" fillId="0" borderId="25" xfId="21" applyFont="1" applyBorder="1" applyAlignment="1">
      <alignment horizontal="left" vertical="center" shrinkToFit="1"/>
    </xf>
    <xf numFmtId="41" fontId="10" fillId="0" borderId="2" xfId="21" applyNumberFormat="1" applyFont="1" applyBorder="1" applyAlignment="1">
      <alignment horizontal="center" vertical="center"/>
    </xf>
    <xf numFmtId="41" fontId="10" fillId="0" borderId="12" xfId="21" applyFont="1" applyBorder="1" applyAlignment="1">
      <alignment vertical="center"/>
    </xf>
    <xf numFmtId="41" fontId="10" fillId="0" borderId="32" xfId="21" applyFont="1" applyBorder="1" applyAlignment="1">
      <alignment vertical="center" wrapText="1"/>
    </xf>
    <xf numFmtId="41" fontId="10" fillId="0" borderId="33" xfId="21" applyFont="1" applyBorder="1" applyAlignment="1">
      <alignment vertical="center" wrapText="1"/>
    </xf>
    <xf numFmtId="41" fontId="10" fillId="0" borderId="25" xfId="21" applyFont="1" applyBorder="1" applyAlignment="1">
      <alignment horizontal="left" vertical="center" wrapText="1"/>
    </xf>
    <xf numFmtId="41" fontId="12" fillId="0" borderId="26" xfId="0" applyNumberFormat="1" applyFont="1" applyBorder="1" applyAlignment="1">
      <alignment horizontal="center" vertical="center"/>
    </xf>
    <xf numFmtId="41" fontId="10" fillId="0" borderId="25" xfId="21" applyFont="1" applyBorder="1" applyAlignment="1">
      <alignment vertical="center"/>
    </xf>
    <xf numFmtId="41" fontId="10" fillId="0" borderId="5" xfId="0" applyNumberFormat="1" applyFont="1" applyBorder="1" applyAlignment="1">
      <alignment horizontal="center" vertical="center" wrapText="1"/>
    </xf>
    <xf numFmtId="41" fontId="10" fillId="0" borderId="25" xfId="21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center" vertical="center" shrinkToFit="1"/>
    </xf>
    <xf numFmtId="41" fontId="10" fillId="0" borderId="30" xfId="21" applyNumberFormat="1" applyFont="1" applyBorder="1" applyAlignment="1">
      <alignment vertical="center"/>
    </xf>
    <xf numFmtId="41" fontId="10" fillId="0" borderId="25" xfId="21" applyFont="1" applyBorder="1" applyAlignment="1">
      <alignment horizontal="left" vertical="center"/>
    </xf>
    <xf numFmtId="41" fontId="10" fillId="0" borderId="26" xfId="0" applyNumberFormat="1" applyFont="1" applyBorder="1" applyAlignment="1">
      <alignment horizontal="left" vertical="center"/>
    </xf>
    <xf numFmtId="41" fontId="10" fillId="0" borderId="26" xfId="0" applyNumberFormat="1" applyFont="1" applyBorder="1" applyAlignment="1">
      <alignment horizontal="center" vertical="center" wrapText="1"/>
    </xf>
    <xf numFmtId="41" fontId="10" fillId="0" borderId="44" xfId="0" applyNumberFormat="1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41" fontId="10" fillId="0" borderId="36" xfId="21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41" fontId="10" fillId="0" borderId="2" xfId="2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41" fontId="10" fillId="0" borderId="5" xfId="21" applyFont="1" applyBorder="1" applyAlignment="1">
      <alignment horizontal="center" vertical="center"/>
    </xf>
    <xf numFmtId="41" fontId="10" fillId="0" borderId="0" xfId="21" applyFont="1" applyBorder="1" applyAlignment="1">
      <alignment horizontal="center" vertical="center"/>
    </xf>
    <xf numFmtId="41" fontId="10" fillId="0" borderId="0" xfId="21" applyFont="1" applyBorder="1" applyAlignment="1">
      <alignment horizontal="left" vertical="center"/>
    </xf>
    <xf numFmtId="41" fontId="10" fillId="0" borderId="5" xfId="2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left" vertical="center" shrinkToFit="1"/>
    </xf>
    <xf numFmtId="41" fontId="10" fillId="0" borderId="0" xfId="21" applyFont="1" applyBorder="1" applyAlignment="1">
      <alignment horizontal="center" vertical="center" shrinkToFit="1"/>
    </xf>
    <xf numFmtId="41" fontId="10" fillId="0" borderId="0" xfId="21" applyFont="1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41" fontId="10" fillId="0" borderId="5" xfId="21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wrapText="1"/>
    </xf>
    <xf numFmtId="41" fontId="10" fillId="0" borderId="32" xfId="21" applyFont="1" applyBorder="1" applyAlignment="1">
      <alignment horizontal="left" vertical="center" shrinkToFit="1"/>
    </xf>
    <xf numFmtId="0" fontId="10" fillId="0" borderId="15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41" fontId="10" fillId="0" borderId="33" xfId="21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41" fontId="10" fillId="0" borderId="32" xfId="21" applyFont="1" applyBorder="1" applyAlignment="1">
      <alignment horizontal="left" vertical="center"/>
    </xf>
    <xf numFmtId="41" fontId="10" fillId="0" borderId="33" xfId="2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/>
    </xf>
    <xf numFmtId="41" fontId="10" fillId="0" borderId="45" xfId="21" applyFont="1" applyBorder="1" applyAlignment="1">
      <alignment horizontal="center" vertical="center"/>
    </xf>
    <xf numFmtId="41" fontId="10" fillId="0" borderId="49" xfId="2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41" fontId="10" fillId="0" borderId="12" xfId="2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41" fontId="10" fillId="0" borderId="32" xfId="21" applyFont="1" applyFill="1" applyBorder="1" applyAlignment="1">
      <alignment vertical="center" shrinkToFit="1"/>
    </xf>
    <xf numFmtId="0" fontId="10" fillId="0" borderId="5" xfId="0" applyFont="1" applyBorder="1" applyAlignment="1">
      <alignment horizontal="center" vertical="center" wrapText="1"/>
    </xf>
    <xf numFmtId="41" fontId="0" fillId="0" borderId="2" xfId="21" applyFont="1" applyBorder="1" applyAlignment="1">
      <alignment vertical="center"/>
    </xf>
    <xf numFmtId="41" fontId="10" fillId="0" borderId="2" xfId="21" applyFont="1" applyFill="1" applyBorder="1" applyAlignment="1">
      <alignment horizontal="center" vertical="center"/>
    </xf>
    <xf numFmtId="41" fontId="10" fillId="0" borderId="2" xfId="2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41" fontId="10" fillId="0" borderId="32" xfId="21" applyNumberFormat="1" applyFont="1" applyFill="1" applyBorder="1" applyAlignment="1">
      <alignment vertical="center" shrinkToFit="1"/>
    </xf>
    <xf numFmtId="41" fontId="10" fillId="0" borderId="2" xfId="21" applyNumberFormat="1" applyFont="1" applyFill="1" applyBorder="1" applyAlignment="1">
      <alignment vertical="center"/>
    </xf>
    <xf numFmtId="41" fontId="10" fillId="0" borderId="32" xfId="21" applyNumberFormat="1" applyFont="1" applyBorder="1" applyAlignment="1">
      <alignment vertical="center" shrinkToFit="1"/>
    </xf>
    <xf numFmtId="0" fontId="0" fillId="0" borderId="33" xfId="0" applyBorder="1" applyAlignment="1">
      <alignment vertical="center"/>
    </xf>
    <xf numFmtId="41" fontId="10" fillId="0" borderId="0" xfId="0" applyNumberFormat="1" applyFont="1" applyBorder="1" applyAlignment="1">
      <alignment horizontal="center" vertical="center" wrapText="1"/>
    </xf>
    <xf numFmtId="41" fontId="10" fillId="0" borderId="5" xfId="21" applyFont="1" applyBorder="1" applyAlignment="1">
      <alignment horizontal="right" vertical="center"/>
    </xf>
    <xf numFmtId="41" fontId="10" fillId="0" borderId="33" xfId="21" applyFont="1" applyFill="1" applyBorder="1" applyAlignment="1">
      <alignment horizontal="left" vertical="center"/>
    </xf>
    <xf numFmtId="41" fontId="10" fillId="0" borderId="37" xfId="21" applyFont="1" applyBorder="1" applyAlignment="1">
      <alignment horizontal="left" vertical="center" shrinkToFit="1"/>
    </xf>
    <xf numFmtId="41" fontId="16" fillId="0" borderId="32" xfId="21" applyFont="1" applyBorder="1" applyAlignment="1">
      <alignment horizontal="left" vertical="center"/>
    </xf>
    <xf numFmtId="0" fontId="0" fillId="0" borderId="32" xfId="0" applyBorder="1" applyAlignment="1">
      <alignment vertical="center" shrinkToFit="1"/>
    </xf>
    <xf numFmtId="177" fontId="10" fillId="0" borderId="2" xfId="0" applyNumberFormat="1" applyFont="1" applyBorder="1" applyAlignment="1">
      <alignment horizontal="center" vertical="center" shrinkToFit="1"/>
    </xf>
    <xf numFmtId="41" fontId="0" fillId="0" borderId="3" xfId="21" applyFont="1" applyBorder="1" applyAlignment="1">
      <alignment vertical="center"/>
    </xf>
    <xf numFmtId="9" fontId="10" fillId="0" borderId="26" xfId="2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176" fontId="10" fillId="0" borderId="0" xfId="21" applyNumberFormat="1" applyFont="1" applyBorder="1" applyAlignment="1">
      <alignment horizontal="center" vertical="center"/>
    </xf>
    <xf numFmtId="41" fontId="13" fillId="0" borderId="58" xfId="21" applyFont="1" applyBorder="1" applyAlignment="1">
      <alignment horizontal="center" vertical="center" wrapText="1" shrinkToFit="1"/>
    </xf>
    <xf numFmtId="41" fontId="10" fillId="0" borderId="6" xfId="21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82" fontId="10" fillId="0" borderId="2" xfId="0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41" fontId="10" fillId="0" borderId="4" xfId="21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82" fontId="10" fillId="0" borderId="27" xfId="0" applyNumberFormat="1" applyFont="1" applyBorder="1" applyAlignment="1">
      <alignment vertical="center"/>
    </xf>
    <xf numFmtId="182" fontId="10" fillId="0" borderId="1" xfId="0" applyNumberFormat="1" applyFont="1" applyBorder="1" applyAlignment="1">
      <alignment vertical="center"/>
    </xf>
    <xf numFmtId="41" fontId="10" fillId="0" borderId="25" xfId="21" applyFont="1" applyFill="1" applyBorder="1" applyAlignment="1">
      <alignment vertical="center"/>
    </xf>
    <xf numFmtId="41" fontId="10" fillId="0" borderId="33" xfId="21" applyFont="1" applyFill="1" applyBorder="1" applyAlignment="1">
      <alignment vertical="center"/>
    </xf>
    <xf numFmtId="41" fontId="10" fillId="0" borderId="3" xfId="21" applyFont="1" applyFill="1" applyBorder="1" applyAlignment="1">
      <alignment vertical="center" shrinkToFit="1"/>
    </xf>
    <xf numFmtId="0" fontId="0" fillId="0" borderId="42" xfId="0" applyBorder="1" applyAlignment="1">
      <alignment vertical="center"/>
    </xf>
    <xf numFmtId="41" fontId="10" fillId="0" borderId="37" xfId="21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9" fontId="10" fillId="0" borderId="4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3" fontId="10" fillId="0" borderId="37" xfId="0" applyNumberFormat="1" applyFont="1" applyBorder="1" applyAlignment="1">
      <alignment horizontal="left" vertical="center" indent="1"/>
    </xf>
    <xf numFmtId="41" fontId="10" fillId="0" borderId="1" xfId="21" applyFont="1" applyBorder="1" applyAlignment="1">
      <alignment horizontal="left" vertical="center" indent="1"/>
    </xf>
    <xf numFmtId="0" fontId="0" fillId="0" borderId="35" xfId="0" applyFont="1" applyBorder="1" applyAlignment="1">
      <alignment vertical="center"/>
    </xf>
    <xf numFmtId="0" fontId="12" fillId="0" borderId="48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vertical="center"/>
    </xf>
    <xf numFmtId="41" fontId="10" fillId="0" borderId="3" xfId="21" applyNumberFormat="1" applyFont="1" applyFill="1" applyBorder="1" applyAlignment="1">
      <alignment vertical="center" shrinkToFit="1"/>
    </xf>
    <xf numFmtId="41" fontId="10" fillId="0" borderId="45" xfId="21" applyFont="1" applyFill="1" applyBorder="1" applyAlignment="1">
      <alignment vertical="center"/>
    </xf>
    <xf numFmtId="182" fontId="10" fillId="0" borderId="45" xfId="0" applyNumberFormat="1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41" fontId="10" fillId="0" borderId="15" xfId="0" applyNumberFormat="1" applyFont="1" applyBorder="1" applyAlignment="1">
      <alignment horizontal="left" vertical="center"/>
    </xf>
    <xf numFmtId="41" fontId="10" fillId="0" borderId="48" xfId="0" applyNumberFormat="1" applyFont="1" applyBorder="1" applyAlignment="1">
      <alignment horizontal="left" vertical="center"/>
    </xf>
    <xf numFmtId="0" fontId="0" fillId="0" borderId="33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41" fontId="13" fillId="0" borderId="7" xfId="0" applyNumberFormat="1" applyFont="1" applyBorder="1" applyAlignment="1">
      <alignment horizontal="left" vertical="center" shrinkToFit="1"/>
    </xf>
    <xf numFmtId="0" fontId="0" fillId="0" borderId="70" xfId="0" applyBorder="1" applyAlignment="1">
      <alignment vertical="center" shrinkToFit="1"/>
    </xf>
    <xf numFmtId="41" fontId="31" fillId="0" borderId="33" xfId="21" applyFont="1" applyBorder="1" applyAlignment="1">
      <alignment horizontal="left" vertical="center" shrinkToFit="1"/>
    </xf>
    <xf numFmtId="41" fontId="31" fillId="0" borderId="0" xfId="21" applyFont="1" applyBorder="1" applyAlignment="1">
      <alignment horizontal="left" vertical="center"/>
    </xf>
    <xf numFmtId="41" fontId="38" fillId="0" borderId="31" xfId="21" applyFont="1" applyBorder="1" applyAlignment="1">
      <alignment horizontal="left" vertical="center"/>
    </xf>
    <xf numFmtId="41" fontId="38" fillId="0" borderId="29" xfId="21" applyFont="1" applyBorder="1" applyAlignment="1">
      <alignment horizontal="left" vertical="center"/>
    </xf>
    <xf numFmtId="41" fontId="38" fillId="0" borderId="24" xfId="21" applyFont="1" applyBorder="1" applyAlignment="1">
      <alignment horizontal="left" vertical="center"/>
    </xf>
    <xf numFmtId="41" fontId="16" fillId="0" borderId="2" xfId="21" applyFont="1" applyBorder="1" applyAlignment="1">
      <alignment vertical="center"/>
    </xf>
    <xf numFmtId="41" fontId="16" fillId="0" borderId="5" xfId="21" applyFont="1" applyBorder="1" applyAlignment="1">
      <alignment vertical="center"/>
    </xf>
    <xf numFmtId="41" fontId="16" fillId="0" borderId="0" xfId="2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41" fontId="16" fillId="0" borderId="45" xfId="21" applyFont="1" applyBorder="1" applyAlignment="1">
      <alignment vertical="center"/>
    </xf>
    <xf numFmtId="41" fontId="10" fillId="0" borderId="1" xfId="21" applyFont="1" applyFill="1" applyBorder="1" applyAlignment="1">
      <alignment vertical="center"/>
    </xf>
    <xf numFmtId="41" fontId="16" fillId="0" borderId="1" xfId="21" applyFont="1" applyBorder="1" applyAlignment="1">
      <alignment vertical="center"/>
    </xf>
    <xf numFmtId="0" fontId="0" fillId="0" borderId="52" xfId="0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11" fillId="0" borderId="13" xfId="0" applyFont="1" applyBorder="1" applyAlignment="1">
      <alignment horizontal="left" vertical="center" shrinkToFit="1"/>
    </xf>
    <xf numFmtId="41" fontId="11" fillId="0" borderId="9" xfId="0" applyNumberFormat="1" applyFont="1" applyBorder="1" applyAlignment="1">
      <alignment horizontal="left" vertical="center" shrinkToFit="1"/>
    </xf>
    <xf numFmtId="41" fontId="11" fillId="7" borderId="9" xfId="0" applyNumberFormat="1" applyFont="1" applyFill="1" applyBorder="1" applyAlignment="1">
      <alignment horizontal="center" vertical="center" shrinkToFit="1"/>
    </xf>
    <xf numFmtId="41" fontId="13" fillId="0" borderId="10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horizontal="right" vertical="center" shrinkToFi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41" fontId="10" fillId="0" borderId="5" xfId="2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/>
    </xf>
    <xf numFmtId="41" fontId="10" fillId="0" borderId="0" xfId="21" applyFont="1" applyBorder="1" applyAlignment="1">
      <alignment horizontal="center" vertical="center"/>
    </xf>
    <xf numFmtId="41" fontId="10" fillId="0" borderId="0" xfId="21" applyFont="1" applyBorder="1" applyAlignment="1">
      <alignment horizontal="left" vertical="center" shrinkToFit="1"/>
    </xf>
    <xf numFmtId="0" fontId="15" fillId="0" borderId="5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1" fontId="10" fillId="0" borderId="0" xfId="21" applyFont="1" applyBorder="1" applyAlignment="1">
      <alignment horizontal="left" vertical="center"/>
    </xf>
    <xf numFmtId="176" fontId="10" fillId="0" borderId="0" xfId="2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176" fontId="10" fillId="0" borderId="5" xfId="21" applyNumberFormat="1" applyFont="1" applyBorder="1" applyAlignment="1">
      <alignment horizontal="center" vertical="center" shrinkToFit="1"/>
    </xf>
    <xf numFmtId="41" fontId="10" fillId="0" borderId="33" xfId="21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45" xfId="0" applyFont="1" applyBorder="1" applyAlignment="1">
      <alignment vertical="center"/>
    </xf>
    <xf numFmtId="41" fontId="10" fillId="0" borderId="5" xfId="21" applyFont="1" applyBorder="1" applyAlignment="1">
      <alignment horizontal="center" vertical="center" shrinkToFit="1"/>
    </xf>
    <xf numFmtId="41" fontId="10" fillId="0" borderId="0" xfId="21" applyFont="1" applyBorder="1" applyAlignment="1">
      <alignment horizontal="center" vertical="center" shrinkToFit="1"/>
    </xf>
    <xf numFmtId="41" fontId="10" fillId="0" borderId="2" xfId="21" applyFont="1" applyBorder="1" applyAlignment="1">
      <alignment horizontal="left" vertical="center"/>
    </xf>
    <xf numFmtId="41" fontId="10" fillId="0" borderId="2" xfId="21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41" fontId="10" fillId="0" borderId="1" xfId="21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41" fontId="10" fillId="0" borderId="2" xfId="21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wrapText="1" shrinkToFit="1"/>
    </xf>
    <xf numFmtId="41" fontId="38" fillId="0" borderId="5" xfId="2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41" fontId="10" fillId="0" borderId="2" xfId="21" applyFont="1" applyBorder="1" applyAlignment="1">
      <alignment horizontal="center" vertical="center"/>
    </xf>
    <xf numFmtId="41" fontId="10" fillId="0" borderId="5" xfId="21" applyFont="1" applyBorder="1" applyAlignment="1">
      <alignment horizontal="left" vertical="center" shrinkToFit="1"/>
    </xf>
    <xf numFmtId="0" fontId="10" fillId="0" borderId="29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41" fontId="13" fillId="7" borderId="62" xfId="2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10" fillId="0" borderId="33" xfId="21" applyFont="1" applyBorder="1" applyAlignment="1">
      <alignment vertical="center"/>
    </xf>
    <xf numFmtId="41" fontId="10" fillId="0" borderId="32" xfId="21" applyFont="1" applyBorder="1" applyAlignment="1">
      <alignment vertical="center" wrapText="1" shrinkToFit="1"/>
    </xf>
    <xf numFmtId="41" fontId="10" fillId="0" borderId="33" xfId="21" applyFont="1" applyBorder="1" applyAlignment="1">
      <alignment vertical="center" wrapText="1" shrinkToFit="1"/>
    </xf>
    <xf numFmtId="41" fontId="12" fillId="2" borderId="0" xfId="21" applyFont="1" applyFill="1" applyBorder="1" applyAlignment="1">
      <alignment vertical="center"/>
    </xf>
    <xf numFmtId="41" fontId="10" fillId="0" borderId="0" xfId="21" applyNumberFormat="1" applyFont="1" applyFill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left" vertical="center"/>
    </xf>
    <xf numFmtId="41" fontId="10" fillId="0" borderId="33" xfId="21" applyFont="1" applyBorder="1" applyAlignment="1">
      <alignment vertical="center" shrinkToFit="1"/>
    </xf>
    <xf numFmtId="41" fontId="10" fillId="0" borderId="25" xfId="21" applyFont="1" applyBorder="1" applyAlignment="1">
      <alignment vertical="center" shrinkToFit="1"/>
    </xf>
    <xf numFmtId="41" fontId="10" fillId="0" borderId="30" xfId="20" applyNumberFormat="1" applyFont="1" applyBorder="1" applyAlignment="1">
      <alignment vertical="center"/>
    </xf>
    <xf numFmtId="41" fontId="0" fillId="0" borderId="4" xfId="21" applyFont="1" applyBorder="1" applyAlignment="1">
      <alignment vertical="center"/>
    </xf>
    <xf numFmtId="41" fontId="0" fillId="0" borderId="39" xfId="21" applyFont="1" applyBorder="1" applyAlignment="1">
      <alignment vertical="center"/>
    </xf>
    <xf numFmtId="9" fontId="10" fillId="0" borderId="44" xfId="20" applyFont="1" applyBorder="1" applyAlignment="1">
      <alignment vertical="center"/>
    </xf>
    <xf numFmtId="0" fontId="10" fillId="0" borderId="12" xfId="0" applyFont="1" applyBorder="1" applyAlignment="1">
      <alignment horizontal="left" vertical="center" shrinkToFit="1"/>
    </xf>
    <xf numFmtId="41" fontId="0" fillId="0" borderId="42" xfId="2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1" fontId="12" fillId="0" borderId="31" xfId="0" applyNumberFormat="1" applyFont="1" applyBorder="1" applyAlignment="1">
      <alignment horizontal="left" vertical="center"/>
    </xf>
    <xf numFmtId="41" fontId="10" fillId="0" borderId="15" xfId="0" applyNumberFormat="1" applyFont="1" applyBorder="1" applyAlignment="1">
      <alignment horizontal="center" vertical="center" wrapText="1"/>
    </xf>
    <xf numFmtId="0" fontId="11" fillId="0" borderId="82" xfId="0" applyFont="1" applyBorder="1" applyAlignment="1">
      <alignment horizontal="left" vertical="center" shrinkToFit="1"/>
    </xf>
    <xf numFmtId="0" fontId="0" fillId="0" borderId="83" xfId="0" applyBorder="1" applyAlignment="1">
      <alignment vertical="center" shrinkToFit="1"/>
    </xf>
    <xf numFmtId="0" fontId="11" fillId="0" borderId="8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41" fontId="11" fillId="0" borderId="18" xfId="0" applyNumberFormat="1" applyFont="1" applyBorder="1" applyAlignment="1">
      <alignment horizontal="left" vertical="center" shrinkToFit="1"/>
    </xf>
    <xf numFmtId="41" fontId="10" fillId="0" borderId="5" xfId="21" applyFont="1" applyBorder="1" applyAlignment="1">
      <alignment vertical="center" shrinkToFit="1"/>
    </xf>
    <xf numFmtId="41" fontId="10" fillId="9" borderId="4" xfId="21" applyFont="1" applyFill="1" applyBorder="1" applyAlignment="1">
      <alignment vertical="center" shrinkToFit="1"/>
    </xf>
    <xf numFmtId="41" fontId="10" fillId="9" borderId="39" xfId="21" applyFont="1" applyFill="1" applyBorder="1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19" fillId="0" borderId="8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right" vertical="center" shrinkToFit="1"/>
    </xf>
    <xf numFmtId="0" fontId="13" fillId="2" borderId="88" xfId="0" applyFont="1" applyFill="1" applyBorder="1" applyAlignment="1">
      <alignment horizontal="center" vertical="center" shrinkToFit="1"/>
    </xf>
    <xf numFmtId="0" fontId="13" fillId="2" borderId="66" xfId="0" applyFont="1" applyFill="1" applyBorder="1" applyAlignment="1">
      <alignment horizontal="center" vertical="center" shrinkToFit="1"/>
    </xf>
    <xf numFmtId="0" fontId="13" fillId="2" borderId="50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wrapText="1" shrinkToFit="1"/>
    </xf>
    <xf numFmtId="0" fontId="10" fillId="0" borderId="5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1" fontId="10" fillId="0" borderId="2" xfId="21" applyFont="1" applyBorder="1" applyAlignment="1">
      <alignment horizontal="left" vertical="center" shrinkToFit="1"/>
    </xf>
    <xf numFmtId="176" fontId="10" fillId="0" borderId="2" xfId="21" applyNumberFormat="1" applyFont="1" applyBorder="1" applyAlignment="1">
      <alignment horizontal="center" vertical="center" shrinkToFit="1"/>
    </xf>
    <xf numFmtId="41" fontId="10" fillId="0" borderId="2" xfId="21" applyFont="1" applyBorder="1" applyAlignment="1">
      <alignment vertical="center" shrinkToFit="1"/>
    </xf>
    <xf numFmtId="41" fontId="10" fillId="0" borderId="5" xfId="21" applyFont="1" applyBorder="1" applyAlignment="1">
      <alignment vertical="center" shrinkToFit="1"/>
    </xf>
    <xf numFmtId="41" fontId="10" fillId="0" borderId="5" xfId="21" applyFont="1" applyBorder="1" applyAlignment="1">
      <alignment horizontal="left" vertical="center" shrinkToFit="1"/>
    </xf>
    <xf numFmtId="41" fontId="10" fillId="0" borderId="2" xfId="21" applyFont="1" applyFill="1" applyBorder="1" applyAlignment="1">
      <alignment horizontal="left" vertical="center" shrinkToFit="1"/>
    </xf>
    <xf numFmtId="176" fontId="10" fillId="0" borderId="0" xfId="21" applyNumberFormat="1" applyFont="1" applyBorder="1" applyAlignment="1">
      <alignment vertical="center" shrinkToFit="1"/>
    </xf>
    <xf numFmtId="41" fontId="10" fillId="0" borderId="1" xfId="21" applyFont="1" applyBorder="1" applyAlignment="1">
      <alignment horizontal="center" vertical="center"/>
    </xf>
    <xf numFmtId="41" fontId="10" fillId="0" borderId="42" xfId="2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left" vertical="center" indent="1"/>
    </xf>
    <xf numFmtId="3" fontId="10" fillId="0" borderId="5" xfId="0" applyNumberFormat="1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41" fontId="10" fillId="0" borderId="0" xfId="21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5" fillId="0" borderId="5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5" fillId="2" borderId="3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41" fontId="10" fillId="0" borderId="0" xfId="21" applyFont="1" applyBorder="1" applyAlignment="1">
      <alignment horizontal="left" vertical="center"/>
    </xf>
    <xf numFmtId="41" fontId="10" fillId="0" borderId="0" xfId="21" applyFont="1" applyBorder="1" applyAlignment="1">
      <alignment horizontal="center" vertical="center"/>
    </xf>
    <xf numFmtId="41" fontId="10" fillId="0" borderId="4" xfId="2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0" borderId="5" xfId="21" applyNumberFormat="1" applyFont="1" applyBorder="1" applyAlignment="1">
      <alignment horizontal="center" vertical="center" shrinkToFit="1"/>
    </xf>
    <xf numFmtId="41" fontId="10" fillId="0" borderId="33" xfId="21" applyFont="1" applyBorder="1" applyAlignment="1">
      <alignment horizontal="left" vertical="center" shrinkToFit="1"/>
    </xf>
    <xf numFmtId="176" fontId="10" fillId="0" borderId="0" xfId="21" applyNumberFormat="1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41" fontId="10" fillId="0" borderId="1" xfId="21" applyFont="1" applyBorder="1" applyAlignment="1">
      <alignment horizontal="left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1" fontId="38" fillId="0" borderId="0" xfId="21" applyFont="1" applyBorder="1" applyAlignment="1">
      <alignment horizontal="center" vertical="center"/>
    </xf>
    <xf numFmtId="41" fontId="38" fillId="0" borderId="5" xfId="21" applyFont="1" applyBorder="1" applyAlignment="1">
      <alignment horizontal="center" vertical="center"/>
    </xf>
    <xf numFmtId="41" fontId="10" fillId="0" borderId="32" xfId="21" applyFont="1" applyBorder="1" applyAlignment="1">
      <alignment horizontal="left" vertical="center" shrinkToFit="1"/>
    </xf>
    <xf numFmtId="41" fontId="10" fillId="0" borderId="2" xfId="21" applyNumberFormat="1" applyFont="1" applyFill="1" applyBorder="1" applyAlignment="1">
      <alignment horizontal="left" vertical="center" shrinkToFit="1"/>
    </xf>
    <xf numFmtId="41" fontId="10" fillId="0" borderId="5" xfId="21" applyFont="1" applyBorder="1" applyAlignment="1">
      <alignment horizontal="center" vertical="center" shrinkToFit="1"/>
    </xf>
    <xf numFmtId="41" fontId="10" fillId="0" borderId="2" xfId="21" applyFont="1" applyBorder="1" applyAlignment="1">
      <alignment horizontal="left" vertical="center"/>
    </xf>
    <xf numFmtId="0" fontId="10" fillId="0" borderId="3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38" fillId="0" borderId="2" xfId="21" applyFont="1" applyBorder="1" applyAlignment="1">
      <alignment horizontal="center" vertical="center"/>
    </xf>
    <xf numFmtId="41" fontId="10" fillId="0" borderId="0" xfId="21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45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41" fontId="10" fillId="0" borderId="32" xfId="21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41" fontId="10" fillId="0" borderId="1" xfId="21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left" vertical="center"/>
    </xf>
    <xf numFmtId="0" fontId="15" fillId="0" borderId="4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2" borderId="88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1" fontId="16" fillId="0" borderId="33" xfId="21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 shrinkToFit="1"/>
    </xf>
    <xf numFmtId="177" fontId="10" fillId="0" borderId="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left" vertical="center" wrapText="1" shrinkToFit="1"/>
    </xf>
    <xf numFmtId="41" fontId="10" fillId="0" borderId="2" xfId="21" applyFont="1" applyBorder="1" applyAlignment="1">
      <alignment horizontal="center" vertical="center"/>
    </xf>
    <xf numFmtId="41" fontId="10" fillId="0" borderId="3" xfId="21" applyFont="1" applyBorder="1" applyAlignment="1">
      <alignment horizontal="center" vertical="center"/>
    </xf>
    <xf numFmtId="41" fontId="10" fillId="0" borderId="2" xfId="21" applyFont="1" applyBorder="1" applyAlignment="1">
      <alignment horizontal="center" vertical="center" shrinkToFit="1"/>
    </xf>
    <xf numFmtId="0" fontId="12" fillId="0" borderId="3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1" fillId="4" borderId="30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3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2" borderId="9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41" fontId="11" fillId="0" borderId="9" xfId="2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41" fontId="11" fillId="0" borderId="6" xfId="21" applyFont="1" applyBorder="1" applyAlignment="1">
      <alignment horizontal="center" vertical="center" shrinkToFit="1"/>
    </xf>
    <xf numFmtId="0" fontId="12" fillId="0" borderId="9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41" fontId="10" fillId="0" borderId="12" xfId="21" applyFont="1" applyBorder="1" applyAlignment="1">
      <alignment horizontal="center" vertical="center"/>
    </xf>
    <xf numFmtId="41" fontId="10" fillId="0" borderId="14" xfId="2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41" fontId="32" fillId="0" borderId="0" xfId="0" applyNumberFormat="1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 [0]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view="pageBreakPreview" zoomScale="60" workbookViewId="0" topLeftCell="A16">
      <selection activeCell="G9" sqref="G9"/>
    </sheetView>
  </sheetViews>
  <sheetFormatPr defaultColWidth="8.88671875" defaultRowHeight="13.5"/>
  <cols>
    <col min="1" max="16384" width="8.88671875" style="3" customWidth="1"/>
  </cols>
  <sheetData>
    <row r="1" ht="189.75" customHeight="1"/>
    <row r="2" ht="57.75" customHeight="1"/>
    <row r="3" spans="1:12" s="4" customFormat="1" ht="33.75">
      <c r="A3" s="840" t="s">
        <v>350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</row>
    <row r="4" spans="1:12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3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02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4" customFormat="1" ht="13.5">
      <c r="A14" s="839" t="s">
        <v>245</v>
      </c>
      <c r="B14" s="839"/>
      <c r="C14" s="839"/>
      <c r="D14" s="839"/>
      <c r="E14" s="839"/>
      <c r="F14" s="839"/>
      <c r="G14" s="839"/>
      <c r="H14" s="839"/>
      <c r="I14" s="839"/>
      <c r="J14" s="839"/>
      <c r="K14" s="839"/>
      <c r="L14" s="839"/>
    </row>
    <row r="15" ht="186.75" customHeight="1"/>
    <row r="16" ht="95.25" customHeight="1"/>
    <row r="17" ht="3.75" customHeight="1"/>
    <row r="18" spans="1:12" ht="33.75">
      <c r="A18" s="840" t="s">
        <v>285</v>
      </c>
      <c r="B18" s="840"/>
      <c r="C18" s="840"/>
      <c r="D18" s="840"/>
      <c r="E18" s="840"/>
      <c r="F18" s="840"/>
      <c r="G18" s="840"/>
      <c r="H18" s="840"/>
      <c r="I18" s="840"/>
      <c r="J18" s="840"/>
      <c r="K18" s="840"/>
      <c r="L18" s="840"/>
    </row>
    <row r="19" spans="1:12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9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>
      <c r="A29" s="839" t="s">
        <v>245</v>
      </c>
      <c r="B29" s="839"/>
      <c r="C29" s="839"/>
      <c r="D29" s="839"/>
      <c r="E29" s="839"/>
      <c r="F29" s="839"/>
      <c r="G29" s="839"/>
      <c r="H29" s="839"/>
      <c r="I29" s="839"/>
      <c r="J29" s="839"/>
      <c r="K29" s="839"/>
      <c r="L29" s="839"/>
    </row>
    <row r="35" ht="167.25" customHeight="1"/>
    <row r="36" ht="60.75" customHeight="1"/>
    <row r="37" spans="1:12" ht="46.5">
      <c r="A37" s="838" t="s">
        <v>276</v>
      </c>
      <c r="B37" s="838"/>
      <c r="C37" s="838"/>
      <c r="D37" s="838"/>
      <c r="E37" s="838"/>
      <c r="F37" s="838"/>
      <c r="G37" s="838"/>
      <c r="H37" s="838"/>
      <c r="I37" s="838"/>
      <c r="J37" s="838"/>
      <c r="K37" s="838"/>
      <c r="L37" s="838"/>
    </row>
    <row r="38" spans="1:1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42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>
      <c r="A48" s="839" t="s">
        <v>245</v>
      </c>
      <c r="B48" s="839"/>
      <c r="C48" s="839"/>
      <c r="D48" s="839"/>
      <c r="E48" s="839"/>
      <c r="F48" s="839"/>
      <c r="G48" s="839"/>
      <c r="H48" s="839"/>
      <c r="I48" s="839"/>
      <c r="J48" s="839"/>
      <c r="K48" s="839"/>
      <c r="L48" s="839"/>
    </row>
  </sheetData>
  <mergeCells count="6">
    <mergeCell ref="A37:L37"/>
    <mergeCell ref="A48:L48"/>
    <mergeCell ref="A3:L3"/>
    <mergeCell ref="A14:L14"/>
    <mergeCell ref="A18:L18"/>
    <mergeCell ref="A29:L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workbookViewId="0" topLeftCell="A1">
      <selection activeCell="T30" sqref="T30"/>
    </sheetView>
  </sheetViews>
  <sheetFormatPr defaultColWidth="8.88671875" defaultRowHeight="13.5"/>
  <cols>
    <col min="1" max="1" width="8.88671875" style="274" customWidth="1"/>
    <col min="2" max="2" width="9.6640625" style="274" customWidth="1"/>
    <col min="3" max="3" width="10.77734375" style="274" customWidth="1"/>
    <col min="4" max="4" width="11.6640625" style="274" customWidth="1"/>
    <col min="5" max="5" width="10.6640625" style="274" customWidth="1"/>
    <col min="6" max="6" width="7.77734375" style="274" customWidth="1"/>
    <col min="7" max="7" width="5.10546875" style="274" customWidth="1"/>
    <col min="8" max="8" width="7.6640625" style="274" customWidth="1"/>
    <col min="9" max="9" width="8.10546875" style="274" customWidth="1"/>
    <col min="10" max="10" width="10.99609375" style="274" customWidth="1"/>
    <col min="11" max="11" width="11.88671875" style="274" customWidth="1"/>
    <col min="12" max="12" width="10.4453125" style="274" customWidth="1"/>
    <col min="13" max="13" width="8.3359375" style="274" customWidth="1"/>
    <col min="14" max="14" width="4.88671875" style="274" customWidth="1"/>
    <col min="15" max="18" width="8.88671875" style="274" hidden="1" customWidth="1"/>
    <col min="19" max="16384" width="8.88671875" style="274" customWidth="1"/>
  </cols>
  <sheetData>
    <row r="1" spans="1:14" ht="27" customHeight="1">
      <c r="A1" s="844" t="s">
        <v>734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</row>
    <row r="2" spans="1:14" ht="15" customHeight="1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852" t="s">
        <v>278</v>
      </c>
      <c r="L2" s="852"/>
      <c r="M2" s="852"/>
      <c r="N2" s="852"/>
    </row>
    <row r="3" spans="1:14" ht="19.5" customHeight="1" thickBot="1">
      <c r="A3" s="849" t="s">
        <v>449</v>
      </c>
      <c r="B3" s="850"/>
      <c r="C3" s="850"/>
      <c r="D3" s="850"/>
      <c r="E3" s="850"/>
      <c r="F3" s="850"/>
      <c r="G3" s="851"/>
      <c r="H3" s="850" t="s">
        <v>450</v>
      </c>
      <c r="I3" s="850"/>
      <c r="J3" s="850"/>
      <c r="K3" s="850"/>
      <c r="L3" s="850"/>
      <c r="M3" s="850"/>
      <c r="N3" s="863"/>
    </row>
    <row r="4" spans="1:14" ht="15" customHeight="1">
      <c r="A4" s="859" t="s">
        <v>0</v>
      </c>
      <c r="B4" s="845" t="s">
        <v>1</v>
      </c>
      <c r="C4" s="847" t="s">
        <v>2</v>
      </c>
      <c r="D4" s="845" t="s">
        <v>733</v>
      </c>
      <c r="E4" s="845" t="s">
        <v>722</v>
      </c>
      <c r="F4" s="856" t="s">
        <v>277</v>
      </c>
      <c r="G4" s="857"/>
      <c r="H4" s="859" t="s">
        <v>0</v>
      </c>
      <c r="I4" s="845" t="s">
        <v>1</v>
      </c>
      <c r="J4" s="847" t="s">
        <v>2</v>
      </c>
      <c r="K4" s="845" t="s">
        <v>737</v>
      </c>
      <c r="L4" s="845" t="s">
        <v>738</v>
      </c>
      <c r="M4" s="856" t="s">
        <v>229</v>
      </c>
      <c r="N4" s="858"/>
    </row>
    <row r="5" spans="1:14" ht="15" customHeight="1" thickBot="1">
      <c r="A5" s="860"/>
      <c r="B5" s="846"/>
      <c r="C5" s="848"/>
      <c r="D5" s="846"/>
      <c r="E5" s="846"/>
      <c r="F5" s="436" t="s">
        <v>281</v>
      </c>
      <c r="G5" s="445" t="s">
        <v>282</v>
      </c>
      <c r="H5" s="861"/>
      <c r="I5" s="846"/>
      <c r="J5" s="848"/>
      <c r="K5" s="846"/>
      <c r="L5" s="846"/>
      <c r="M5" s="436" t="s">
        <v>281</v>
      </c>
      <c r="N5" s="453" t="s">
        <v>284</v>
      </c>
    </row>
    <row r="6" spans="1:17" ht="27.75" customHeight="1" thickBot="1">
      <c r="A6" s="853" t="s">
        <v>151</v>
      </c>
      <c r="B6" s="854"/>
      <c r="C6" s="855"/>
      <c r="D6" s="273">
        <v>1077100.229</v>
      </c>
      <c r="E6" s="273">
        <v>985960.3620000001</v>
      </c>
      <c r="F6" s="273">
        <v>91139.86699999997</v>
      </c>
      <c r="G6" s="452">
        <v>9.243765825953133</v>
      </c>
      <c r="H6" s="854" t="s">
        <v>151</v>
      </c>
      <c r="I6" s="854"/>
      <c r="J6" s="855"/>
      <c r="K6" s="273">
        <v>1077100.4100000001</v>
      </c>
      <c r="L6" s="273">
        <v>985960.0000000001</v>
      </c>
      <c r="M6" s="442">
        <v>91140.41000000003</v>
      </c>
      <c r="N6" s="443">
        <v>9.24382429307478</v>
      </c>
      <c r="O6" s="274">
        <v>535000000</v>
      </c>
      <c r="P6" s="273">
        <v>535000000</v>
      </c>
      <c r="Q6" s="434">
        <f>D6-K6</f>
        <v>-0.1810000000987202</v>
      </c>
    </row>
    <row r="7" spans="1:16" ht="16.5" customHeight="1">
      <c r="A7" s="223" t="s">
        <v>152</v>
      </c>
      <c r="B7" s="437"/>
      <c r="C7" s="773"/>
      <c r="D7" s="433">
        <v>48972</v>
      </c>
      <c r="E7" s="433">
        <v>44748</v>
      </c>
      <c r="F7" s="433">
        <v>4224</v>
      </c>
      <c r="G7" s="451">
        <v>9.439528023598811</v>
      </c>
      <c r="H7" s="438" t="s">
        <v>153</v>
      </c>
      <c r="I7" s="215"/>
      <c r="J7" s="438"/>
      <c r="K7" s="439">
        <v>914230.2900000002</v>
      </c>
      <c r="L7" s="440">
        <v>859498.0800000001</v>
      </c>
      <c r="M7" s="444">
        <v>54732.21000000008</v>
      </c>
      <c r="N7" s="441">
        <v>6.367926965002653</v>
      </c>
      <c r="O7" s="274">
        <v>448989550</v>
      </c>
      <c r="P7" s="356">
        <v>17010000</v>
      </c>
    </row>
    <row r="8" spans="1:16" ht="16.5" customHeight="1">
      <c r="A8" s="223"/>
      <c r="B8" s="214" t="s">
        <v>154</v>
      </c>
      <c r="C8" s="208"/>
      <c r="D8" s="203">
        <v>48972</v>
      </c>
      <c r="E8" s="203">
        <v>44748</v>
      </c>
      <c r="F8" s="429">
        <v>4224</v>
      </c>
      <c r="G8" s="466">
        <v>9.439528023598811</v>
      </c>
      <c r="H8" s="438"/>
      <c r="I8" s="214" t="s">
        <v>155</v>
      </c>
      <c r="J8" s="208"/>
      <c r="K8" s="203">
        <v>856370.2900000002</v>
      </c>
      <c r="L8" s="430">
        <v>804638.0800000001</v>
      </c>
      <c r="M8" s="424">
        <v>51732.21000000008</v>
      </c>
      <c r="N8" s="441">
        <v>6.429252018497564</v>
      </c>
      <c r="O8" s="274">
        <v>428289550</v>
      </c>
      <c r="P8" s="203">
        <v>17010000</v>
      </c>
    </row>
    <row r="9" spans="1:16" ht="16.5" customHeight="1">
      <c r="A9" s="209"/>
      <c r="B9" s="211"/>
      <c r="C9" s="208" t="s">
        <v>154</v>
      </c>
      <c r="D9" s="203">
        <v>48972</v>
      </c>
      <c r="E9" s="203">
        <v>44748</v>
      </c>
      <c r="F9" s="429">
        <v>4224</v>
      </c>
      <c r="G9" s="466">
        <v>9.439528023598811</v>
      </c>
      <c r="H9" s="438"/>
      <c r="I9" s="215"/>
      <c r="J9" s="208" t="s">
        <v>156</v>
      </c>
      <c r="K9" s="203">
        <v>475677</v>
      </c>
      <c r="L9" s="430">
        <v>450684</v>
      </c>
      <c r="M9" s="424">
        <v>24993</v>
      </c>
      <c r="N9" s="441">
        <v>5.545570732486624</v>
      </c>
      <c r="O9" s="274">
        <v>233455000</v>
      </c>
      <c r="P9" s="424">
        <v>17010000</v>
      </c>
    </row>
    <row r="10" spans="1:16" ht="16.5" customHeight="1">
      <c r="A10" s="224" t="s">
        <v>157</v>
      </c>
      <c r="B10" s="773"/>
      <c r="C10" s="202"/>
      <c r="D10" s="204">
        <v>954711.422</v>
      </c>
      <c r="E10" s="204">
        <v>899233.3620000001</v>
      </c>
      <c r="F10" s="433">
        <v>55478.05999999994</v>
      </c>
      <c r="G10" s="451">
        <v>6.169484178902152</v>
      </c>
      <c r="H10" s="438"/>
      <c r="I10" s="215"/>
      <c r="J10" s="208" t="s">
        <v>158</v>
      </c>
      <c r="K10" s="203">
        <v>46928.4</v>
      </c>
      <c r="L10" s="430">
        <v>37654</v>
      </c>
      <c r="M10" s="424">
        <v>9274.400000000001</v>
      </c>
      <c r="N10" s="441">
        <v>24.630583736123654</v>
      </c>
      <c r="O10" s="274">
        <v>21068000</v>
      </c>
      <c r="P10" s="204">
        <v>499892960</v>
      </c>
    </row>
    <row r="11" spans="1:16" ht="16.5" customHeight="1">
      <c r="A11" s="223"/>
      <c r="B11" s="216" t="s">
        <v>159</v>
      </c>
      <c r="C11" s="202"/>
      <c r="D11" s="203">
        <v>954711.422</v>
      </c>
      <c r="E11" s="203">
        <v>899233.3620000001</v>
      </c>
      <c r="F11" s="429">
        <v>55478.05999999994</v>
      </c>
      <c r="G11" s="466">
        <v>6.169484178902152</v>
      </c>
      <c r="H11" s="438"/>
      <c r="I11" s="215"/>
      <c r="J11" s="208" t="s">
        <v>161</v>
      </c>
      <c r="K11" s="203">
        <v>203880.19</v>
      </c>
      <c r="L11" s="430">
        <v>194152.38</v>
      </c>
      <c r="M11" s="424">
        <v>9727.809999999998</v>
      </c>
      <c r="N11" s="441">
        <v>5.010399563476895</v>
      </c>
      <c r="O11" s="274">
        <v>0</v>
      </c>
      <c r="P11" s="203">
        <v>499892960</v>
      </c>
    </row>
    <row r="12" spans="1:16" ht="16.5" customHeight="1">
      <c r="A12" s="223"/>
      <c r="B12" s="211"/>
      <c r="C12" s="202" t="s">
        <v>160</v>
      </c>
      <c r="D12" s="203">
        <v>954711.422</v>
      </c>
      <c r="E12" s="203">
        <v>899233.3620000001</v>
      </c>
      <c r="F12" s="429">
        <v>55478.05999999994</v>
      </c>
      <c r="G12" s="466">
        <v>6.169484178902152</v>
      </c>
      <c r="H12" s="438"/>
      <c r="I12" s="215"/>
      <c r="J12" s="208" t="s">
        <v>162</v>
      </c>
      <c r="K12" s="203">
        <v>60373.79</v>
      </c>
      <c r="L12" s="430">
        <v>56874.19</v>
      </c>
      <c r="M12" s="424">
        <v>3499.5999999999985</v>
      </c>
      <c r="N12" s="441">
        <v>6.153230489963903</v>
      </c>
      <c r="O12" s="274">
        <v>110593440</v>
      </c>
      <c r="P12" s="424">
        <v>499892960</v>
      </c>
    </row>
    <row r="13" spans="1:16" ht="16.5" customHeight="1">
      <c r="A13" s="224" t="s">
        <v>164</v>
      </c>
      <c r="B13" s="213"/>
      <c r="C13" s="202"/>
      <c r="D13" s="204">
        <v>14000</v>
      </c>
      <c r="E13" s="204">
        <v>14000</v>
      </c>
      <c r="F13" s="433">
        <v>0</v>
      </c>
      <c r="G13" s="451">
        <v>0</v>
      </c>
      <c r="H13" s="438"/>
      <c r="I13" s="215"/>
      <c r="J13" s="208" t="s">
        <v>163</v>
      </c>
      <c r="K13" s="203">
        <v>66820.91</v>
      </c>
      <c r="L13" s="430">
        <v>62583.509999999995</v>
      </c>
      <c r="M13" s="424">
        <v>4237.400000000009</v>
      </c>
      <c r="N13" s="441">
        <v>6.770793137042034</v>
      </c>
      <c r="O13" s="274">
        <v>29899620</v>
      </c>
      <c r="P13" s="424">
        <v>0</v>
      </c>
    </row>
    <row r="14" spans="1:16" ht="16.5" customHeight="1">
      <c r="A14" s="223"/>
      <c r="B14" s="216" t="s">
        <v>166</v>
      </c>
      <c r="C14" s="202"/>
      <c r="D14" s="203">
        <v>14000</v>
      </c>
      <c r="E14" s="203">
        <v>14000</v>
      </c>
      <c r="F14" s="429">
        <v>0</v>
      </c>
      <c r="G14" s="466">
        <v>0</v>
      </c>
      <c r="H14" s="438"/>
      <c r="I14" s="211"/>
      <c r="J14" s="208" t="s">
        <v>165</v>
      </c>
      <c r="K14" s="203">
        <v>2690</v>
      </c>
      <c r="L14" s="430">
        <v>2690</v>
      </c>
      <c r="M14" s="424">
        <v>0</v>
      </c>
      <c r="N14" s="441">
        <v>0</v>
      </c>
      <c r="O14" s="274">
        <v>32073490</v>
      </c>
      <c r="P14" s="424">
        <v>0</v>
      </c>
    </row>
    <row r="15" spans="1:16" ht="16.5" customHeight="1">
      <c r="A15" s="223"/>
      <c r="B15" s="217"/>
      <c r="C15" s="202" t="s">
        <v>168</v>
      </c>
      <c r="D15" s="203">
        <v>6000</v>
      </c>
      <c r="E15" s="203">
        <v>6000</v>
      </c>
      <c r="F15" s="429">
        <v>0</v>
      </c>
      <c r="G15" s="466">
        <v>0</v>
      </c>
      <c r="H15" s="438"/>
      <c r="I15" s="214" t="s">
        <v>167</v>
      </c>
      <c r="J15" s="202"/>
      <c r="K15" s="203">
        <v>2100</v>
      </c>
      <c r="L15" s="430">
        <v>2100</v>
      </c>
      <c r="M15" s="424">
        <v>0</v>
      </c>
      <c r="N15" s="441">
        <v>0</v>
      </c>
      <c r="O15" s="274">
        <v>1200000</v>
      </c>
      <c r="P15" s="204">
        <v>7000000</v>
      </c>
    </row>
    <row r="16" spans="1:16" ht="16.5" customHeight="1">
      <c r="A16" s="209"/>
      <c r="B16" s="212"/>
      <c r="C16" s="202" t="s">
        <v>170</v>
      </c>
      <c r="D16" s="203">
        <v>8000</v>
      </c>
      <c r="E16" s="203">
        <v>8000</v>
      </c>
      <c r="F16" s="429">
        <v>0</v>
      </c>
      <c r="G16" s="466">
        <v>0</v>
      </c>
      <c r="H16" s="438"/>
      <c r="I16" s="215"/>
      <c r="J16" s="202" t="s">
        <v>169</v>
      </c>
      <c r="K16" s="203">
        <v>900</v>
      </c>
      <c r="L16" s="430">
        <v>900</v>
      </c>
      <c r="M16" s="424">
        <v>0</v>
      </c>
      <c r="N16" s="441">
        <v>0</v>
      </c>
      <c r="O16" s="274">
        <v>1650000</v>
      </c>
      <c r="P16" s="203">
        <v>7000000</v>
      </c>
    </row>
    <row r="17" spans="1:16" ht="16.5" customHeight="1">
      <c r="A17" s="224" t="s">
        <v>175</v>
      </c>
      <c r="B17" s="213"/>
      <c r="C17" s="202"/>
      <c r="D17" s="204">
        <v>5000</v>
      </c>
      <c r="E17" s="204">
        <v>5000</v>
      </c>
      <c r="F17" s="429">
        <v>0</v>
      </c>
      <c r="G17" s="451">
        <v>0</v>
      </c>
      <c r="H17" s="438"/>
      <c r="I17" s="211"/>
      <c r="J17" s="202" t="s">
        <v>171</v>
      </c>
      <c r="K17" s="203">
        <v>1200</v>
      </c>
      <c r="L17" s="430">
        <v>1200</v>
      </c>
      <c r="M17" s="424">
        <v>0</v>
      </c>
      <c r="N17" s="441">
        <v>0</v>
      </c>
      <c r="O17" s="274">
        <v>550000</v>
      </c>
      <c r="P17" s="424">
        <v>3000000</v>
      </c>
    </row>
    <row r="18" spans="1:16" ht="16.5" customHeight="1">
      <c r="A18" s="223"/>
      <c r="B18" s="216" t="s">
        <v>177</v>
      </c>
      <c r="C18" s="202"/>
      <c r="D18" s="203">
        <v>5000</v>
      </c>
      <c r="E18" s="203">
        <v>5000</v>
      </c>
      <c r="F18" s="429">
        <v>0</v>
      </c>
      <c r="G18" s="451">
        <v>0</v>
      </c>
      <c r="H18" s="438"/>
      <c r="I18" s="215" t="s">
        <v>172</v>
      </c>
      <c r="J18" s="202"/>
      <c r="K18" s="203">
        <v>55760</v>
      </c>
      <c r="L18" s="430">
        <v>52760</v>
      </c>
      <c r="M18" s="424">
        <v>3000</v>
      </c>
      <c r="N18" s="441">
        <v>5.686125852918877</v>
      </c>
      <c r="O18" s="274">
        <v>1100000</v>
      </c>
      <c r="P18" s="424">
        <v>4000000</v>
      </c>
    </row>
    <row r="19" spans="1:16" ht="15" customHeight="1">
      <c r="A19" s="209"/>
      <c r="B19" s="212"/>
      <c r="C19" s="202" t="s">
        <v>179</v>
      </c>
      <c r="D19" s="203">
        <v>5000</v>
      </c>
      <c r="E19" s="203">
        <v>5000</v>
      </c>
      <c r="F19" s="429">
        <v>0</v>
      </c>
      <c r="G19" s="451">
        <v>0</v>
      </c>
      <c r="H19" s="438"/>
      <c r="I19" s="215"/>
      <c r="J19" s="202" t="s">
        <v>173</v>
      </c>
      <c r="K19" s="203">
        <v>3600</v>
      </c>
      <c r="L19" s="430">
        <v>3600</v>
      </c>
      <c r="M19" s="424">
        <v>0</v>
      </c>
      <c r="N19" s="441">
        <v>0</v>
      </c>
      <c r="P19" s="424"/>
    </row>
    <row r="20" spans="1:16" ht="15" customHeight="1">
      <c r="A20" s="224" t="s">
        <v>181</v>
      </c>
      <c r="B20" s="213"/>
      <c r="C20" s="202"/>
      <c r="D20" s="204">
        <v>43391.807</v>
      </c>
      <c r="E20" s="204">
        <v>12000</v>
      </c>
      <c r="F20" s="429">
        <v>31391.807</v>
      </c>
      <c r="G20" s="451"/>
      <c r="H20" s="438"/>
      <c r="I20" s="215"/>
      <c r="J20" s="202" t="s">
        <v>174</v>
      </c>
      <c r="K20" s="203">
        <v>10400</v>
      </c>
      <c r="L20" s="430">
        <v>7400</v>
      </c>
      <c r="M20" s="424">
        <v>3000</v>
      </c>
      <c r="N20" s="441">
        <v>40.54054054054055</v>
      </c>
      <c r="P20" s="424"/>
    </row>
    <row r="21" spans="1:16" ht="15" customHeight="1">
      <c r="A21" s="223"/>
      <c r="B21" s="216" t="s">
        <v>182</v>
      </c>
      <c r="C21" s="202"/>
      <c r="D21" s="203">
        <v>43391.807</v>
      </c>
      <c r="E21" s="203">
        <v>12000</v>
      </c>
      <c r="F21" s="429">
        <v>31391.807</v>
      </c>
      <c r="G21" s="451"/>
      <c r="H21" s="438"/>
      <c r="I21" s="215"/>
      <c r="J21" s="202" t="s">
        <v>176</v>
      </c>
      <c r="K21" s="203">
        <v>29160</v>
      </c>
      <c r="L21" s="430">
        <v>29160</v>
      </c>
      <c r="M21" s="424">
        <v>0</v>
      </c>
      <c r="N21" s="441">
        <v>0</v>
      </c>
      <c r="P21" s="424"/>
    </row>
    <row r="22" spans="1:16" ht="15" customHeight="1">
      <c r="A22" s="223"/>
      <c r="B22" s="211"/>
      <c r="C22" s="202" t="s">
        <v>184</v>
      </c>
      <c r="D22" s="203">
        <v>43391.807</v>
      </c>
      <c r="E22" s="203">
        <v>12000</v>
      </c>
      <c r="F22" s="429">
        <v>31391.807</v>
      </c>
      <c r="G22" s="451"/>
      <c r="H22" s="438"/>
      <c r="I22" s="215"/>
      <c r="J22" s="202" t="s">
        <v>178</v>
      </c>
      <c r="K22" s="203">
        <v>2600</v>
      </c>
      <c r="L22" s="430">
        <v>2600</v>
      </c>
      <c r="M22" s="424">
        <v>0</v>
      </c>
      <c r="N22" s="441">
        <v>0</v>
      </c>
      <c r="P22" s="424"/>
    </row>
    <row r="23" spans="1:16" ht="18.75" customHeight="1">
      <c r="A23" s="224" t="s">
        <v>186</v>
      </c>
      <c r="B23" s="213"/>
      <c r="C23" s="202"/>
      <c r="D23" s="204">
        <v>11025</v>
      </c>
      <c r="E23" s="204">
        <v>10979</v>
      </c>
      <c r="F23" s="433">
        <v>46</v>
      </c>
      <c r="G23" s="451">
        <v>0.4189816923216938</v>
      </c>
      <c r="H23" s="438"/>
      <c r="I23" s="211"/>
      <c r="J23" s="202" t="s">
        <v>180</v>
      </c>
      <c r="K23" s="203">
        <v>10000</v>
      </c>
      <c r="L23" s="430">
        <v>10000</v>
      </c>
      <c r="M23" s="424">
        <v>0</v>
      </c>
      <c r="N23" s="441">
        <v>0</v>
      </c>
      <c r="O23" s="274">
        <v>19050000</v>
      </c>
      <c r="P23" s="425">
        <v>0</v>
      </c>
    </row>
    <row r="24" spans="1:16" ht="18.75" customHeight="1">
      <c r="A24" s="223"/>
      <c r="B24" s="214" t="s">
        <v>188</v>
      </c>
      <c r="C24" s="454"/>
      <c r="D24" s="203">
        <v>11025</v>
      </c>
      <c r="E24" s="203">
        <v>10979</v>
      </c>
      <c r="F24" s="429">
        <v>46</v>
      </c>
      <c r="G24" s="466">
        <v>0.4189816923216938</v>
      </c>
      <c r="H24" s="864" t="s">
        <v>664</v>
      </c>
      <c r="I24" s="213"/>
      <c r="J24" s="202"/>
      <c r="K24" s="204">
        <v>58100</v>
      </c>
      <c r="L24" s="204">
        <v>26100</v>
      </c>
      <c r="M24" s="425">
        <v>32000</v>
      </c>
      <c r="N24" s="441">
        <v>122.60536398467434</v>
      </c>
      <c r="O24" s="274">
        <v>1650000</v>
      </c>
      <c r="P24" s="424">
        <v>0</v>
      </c>
    </row>
    <row r="25" spans="1:16" ht="18.75" customHeight="1">
      <c r="A25" s="223"/>
      <c r="B25" s="215"/>
      <c r="C25" s="202" t="s">
        <v>189</v>
      </c>
      <c r="D25" s="203">
        <v>200</v>
      </c>
      <c r="E25" s="203">
        <v>200</v>
      </c>
      <c r="F25" s="203">
        <v>0</v>
      </c>
      <c r="G25" s="466"/>
      <c r="H25" s="865"/>
      <c r="I25" s="216" t="s">
        <v>183</v>
      </c>
      <c r="J25" s="202"/>
      <c r="K25" s="203">
        <v>58100</v>
      </c>
      <c r="L25" s="203">
        <v>26100</v>
      </c>
      <c r="M25" s="424">
        <v>32000</v>
      </c>
      <c r="N25" s="441">
        <v>122.60536398467434</v>
      </c>
      <c r="O25" s="274">
        <v>5500000</v>
      </c>
      <c r="P25" s="424">
        <v>0</v>
      </c>
    </row>
    <row r="26" spans="1:16" ht="18.75" customHeight="1">
      <c r="A26" s="223"/>
      <c r="B26" s="215"/>
      <c r="C26" s="456" t="s">
        <v>191</v>
      </c>
      <c r="D26" s="429">
        <v>245</v>
      </c>
      <c r="E26" s="429">
        <v>199</v>
      </c>
      <c r="F26" s="429">
        <v>46</v>
      </c>
      <c r="G26" s="466">
        <v>23.115577889447238</v>
      </c>
      <c r="H26" s="450"/>
      <c r="I26" s="455"/>
      <c r="J26" s="202" t="s">
        <v>183</v>
      </c>
      <c r="K26" s="203">
        <v>10000</v>
      </c>
      <c r="L26" s="430">
        <v>0</v>
      </c>
      <c r="M26" s="424">
        <v>10000</v>
      </c>
      <c r="N26" s="441"/>
      <c r="O26" s="274">
        <v>2200000</v>
      </c>
      <c r="P26" s="424">
        <v>0</v>
      </c>
    </row>
    <row r="27" spans="1:16" ht="18.75" customHeight="1">
      <c r="A27" s="209"/>
      <c r="B27" s="211"/>
      <c r="C27" s="454" t="s">
        <v>193</v>
      </c>
      <c r="D27" s="203">
        <v>10580</v>
      </c>
      <c r="E27" s="203">
        <v>10580</v>
      </c>
      <c r="F27" s="429">
        <v>0</v>
      </c>
      <c r="G27" s="466">
        <v>0</v>
      </c>
      <c r="H27" s="220"/>
      <c r="I27" s="217"/>
      <c r="J27" s="202" t="s">
        <v>185</v>
      </c>
      <c r="K27" s="203">
        <v>43100</v>
      </c>
      <c r="L27" s="430">
        <v>21100</v>
      </c>
      <c r="M27" s="424">
        <v>22000</v>
      </c>
      <c r="N27" s="441">
        <v>104.26540284360189</v>
      </c>
      <c r="O27" s="274">
        <v>3100000</v>
      </c>
      <c r="P27" s="425">
        <v>5000000</v>
      </c>
    </row>
    <row r="28" spans="1:16" ht="18.75" customHeight="1">
      <c r="A28" s="862"/>
      <c r="B28" s="681"/>
      <c r="C28" s="681"/>
      <c r="D28" s="681"/>
      <c r="E28" s="681"/>
      <c r="F28" s="681"/>
      <c r="G28" s="723"/>
      <c r="H28" s="457"/>
      <c r="I28" s="212"/>
      <c r="J28" s="202" t="s">
        <v>187</v>
      </c>
      <c r="K28" s="203">
        <v>5000</v>
      </c>
      <c r="L28" s="430">
        <v>5000</v>
      </c>
      <c r="M28" s="424">
        <v>0</v>
      </c>
      <c r="N28" s="441">
        <v>0</v>
      </c>
      <c r="O28" s="274">
        <v>6600000</v>
      </c>
      <c r="P28" s="424">
        <v>5000000</v>
      </c>
    </row>
    <row r="29" spans="1:16" ht="18.75" customHeight="1">
      <c r="A29" s="842"/>
      <c r="B29" s="720"/>
      <c r="C29" s="720"/>
      <c r="D29" s="720"/>
      <c r="E29" s="720"/>
      <c r="F29" s="720"/>
      <c r="G29" s="720"/>
      <c r="H29" s="829" t="s">
        <v>145</v>
      </c>
      <c r="I29" s="202"/>
      <c r="J29" s="202"/>
      <c r="K29" s="204">
        <v>99396.12</v>
      </c>
      <c r="L29" s="428">
        <v>99361.92</v>
      </c>
      <c r="M29" s="425">
        <v>34.19999999999709</v>
      </c>
      <c r="N29" s="722">
        <v>0.03441962474154536</v>
      </c>
      <c r="O29" s="274">
        <v>1900000</v>
      </c>
      <c r="P29" s="424">
        <v>5000000</v>
      </c>
    </row>
    <row r="30" spans="1:16" ht="18.75" customHeight="1">
      <c r="A30" s="842"/>
      <c r="B30" s="720"/>
      <c r="C30" s="720"/>
      <c r="D30" s="720"/>
      <c r="E30" s="720"/>
      <c r="F30" s="720"/>
      <c r="G30" s="721"/>
      <c r="H30" s="460"/>
      <c r="I30" s="214" t="s">
        <v>172</v>
      </c>
      <c r="J30" s="456"/>
      <c r="K30" s="429">
        <v>77566.12</v>
      </c>
      <c r="L30" s="458">
        <v>77531.92</v>
      </c>
      <c r="M30" s="459">
        <v>34.19999999999709</v>
      </c>
      <c r="N30" s="441">
        <v>0.04411086427370492</v>
      </c>
      <c r="O30" s="274">
        <v>1900000</v>
      </c>
      <c r="P30" s="425">
        <v>0</v>
      </c>
    </row>
    <row r="31" spans="1:16" ht="18.75" customHeight="1" thickBot="1">
      <c r="A31" s="843"/>
      <c r="B31" s="739"/>
      <c r="C31" s="739"/>
      <c r="D31" s="739"/>
      <c r="E31" s="739"/>
      <c r="F31" s="739"/>
      <c r="G31" s="740"/>
      <c r="H31" s="831"/>
      <c r="I31" s="832"/>
      <c r="J31" s="833" t="s">
        <v>192</v>
      </c>
      <c r="K31" s="834">
        <v>61766.12</v>
      </c>
      <c r="L31" s="431">
        <v>61731.92</v>
      </c>
      <c r="M31" s="834">
        <v>34.200000000004366</v>
      </c>
      <c r="N31" s="495">
        <v>0.05540083639064619</v>
      </c>
      <c r="O31" s="274">
        <v>0</v>
      </c>
      <c r="P31" s="424">
        <v>0</v>
      </c>
    </row>
    <row r="32" spans="1:16" ht="18.75" customHeight="1">
      <c r="A32" s="841"/>
      <c r="B32" s="741"/>
      <c r="C32" s="741"/>
      <c r="D32" s="741"/>
      <c r="E32" s="742"/>
      <c r="F32" s="742"/>
      <c r="G32" s="743"/>
      <c r="H32" s="830"/>
      <c r="I32" s="741"/>
      <c r="J32" s="744" t="s">
        <v>194</v>
      </c>
      <c r="K32" s="745">
        <v>7800</v>
      </c>
      <c r="L32" s="746">
        <v>7800</v>
      </c>
      <c r="M32" s="427">
        <v>0</v>
      </c>
      <c r="N32" s="747">
        <v>0</v>
      </c>
      <c r="O32" s="274">
        <v>800000</v>
      </c>
      <c r="P32" s="424">
        <v>0</v>
      </c>
    </row>
    <row r="33" spans="1:16" ht="18.75" customHeight="1">
      <c r="A33" s="842"/>
      <c r="B33" s="455"/>
      <c r="C33" s="450"/>
      <c r="D33" s="455"/>
      <c r="E33" s="450"/>
      <c r="F33" s="455"/>
      <c r="G33" s="450"/>
      <c r="H33" s="220"/>
      <c r="I33" s="215"/>
      <c r="J33" s="456" t="s">
        <v>28</v>
      </c>
      <c r="K33" s="429">
        <v>5400</v>
      </c>
      <c r="L33" s="458">
        <v>5400</v>
      </c>
      <c r="M33" s="459">
        <v>0</v>
      </c>
      <c r="N33" s="441">
        <v>0</v>
      </c>
      <c r="O33" s="274">
        <v>1100000</v>
      </c>
      <c r="P33" s="424">
        <v>0</v>
      </c>
    </row>
    <row r="34" spans="1:16" ht="18.75" customHeight="1">
      <c r="A34" s="842"/>
      <c r="B34" s="720"/>
      <c r="C34" s="720"/>
      <c r="D34" s="720"/>
      <c r="E34" s="720"/>
      <c r="F34" s="720"/>
      <c r="G34" s="720"/>
      <c r="H34" s="736"/>
      <c r="I34" s="455"/>
      <c r="J34" s="456" t="s">
        <v>195</v>
      </c>
      <c r="K34" s="429">
        <v>2000</v>
      </c>
      <c r="L34" s="458">
        <v>2000</v>
      </c>
      <c r="M34" s="459">
        <v>0</v>
      </c>
      <c r="N34" s="441">
        <v>0</v>
      </c>
      <c r="O34" s="274">
        <v>83040930</v>
      </c>
      <c r="P34" s="204">
        <v>6097040</v>
      </c>
    </row>
    <row r="35" spans="1:16" ht="16.5" customHeight="1" hidden="1">
      <c r="A35" s="842"/>
      <c r="B35" s="455"/>
      <c r="C35" s="455"/>
      <c r="D35" s="455"/>
      <c r="E35" s="455"/>
      <c r="F35" s="720"/>
      <c r="G35" s="720"/>
      <c r="H35" s="460"/>
      <c r="I35" s="215"/>
      <c r="J35" s="456" t="s">
        <v>196</v>
      </c>
      <c r="K35" s="429">
        <v>600</v>
      </c>
      <c r="L35" s="458">
        <v>600</v>
      </c>
      <c r="M35" s="459">
        <v>0</v>
      </c>
      <c r="N35" s="441">
        <v>0</v>
      </c>
      <c r="O35" s="274">
        <v>69510930</v>
      </c>
      <c r="P35" s="203">
        <v>6097040</v>
      </c>
    </row>
    <row r="36" spans="1:16" ht="16.5" customHeight="1" hidden="1" thickBot="1">
      <c r="A36" s="842"/>
      <c r="B36" s="455"/>
      <c r="C36" s="455"/>
      <c r="D36" s="455"/>
      <c r="E36" s="455"/>
      <c r="F36" s="720"/>
      <c r="G36" s="720"/>
      <c r="H36" s="460"/>
      <c r="I36" s="215"/>
      <c r="J36" s="454" t="s">
        <v>197</v>
      </c>
      <c r="K36" s="203">
        <v>0</v>
      </c>
      <c r="L36" s="430">
        <v>0</v>
      </c>
      <c r="M36" s="424">
        <v>0</v>
      </c>
      <c r="N36" s="441"/>
      <c r="O36" s="274">
        <v>42390930</v>
      </c>
      <c r="P36" s="426">
        <v>0</v>
      </c>
    </row>
    <row r="37" spans="1:16" ht="16.5" customHeight="1" hidden="1">
      <c r="A37" s="842"/>
      <c r="B37" s="455"/>
      <c r="C37" s="455"/>
      <c r="D37" s="455"/>
      <c r="E37" s="455"/>
      <c r="F37" s="720"/>
      <c r="G37" s="720"/>
      <c r="H37" s="460"/>
      <c r="I37" s="215"/>
      <c r="J37" s="454" t="s">
        <v>198</v>
      </c>
      <c r="K37" s="203">
        <v>0</v>
      </c>
      <c r="L37" s="430">
        <v>0</v>
      </c>
      <c r="M37" s="424">
        <v>0</v>
      </c>
      <c r="N37" s="441"/>
      <c r="O37" s="274">
        <v>3300000</v>
      </c>
      <c r="P37" s="427">
        <v>297040</v>
      </c>
    </row>
    <row r="38" spans="1:16" ht="16.5" customHeight="1" hidden="1">
      <c r="A38" s="842"/>
      <c r="B38" s="455"/>
      <c r="C38" s="455"/>
      <c r="D38" s="455"/>
      <c r="E38" s="455"/>
      <c r="F38" s="720"/>
      <c r="G38" s="720"/>
      <c r="H38" s="460"/>
      <c r="I38" s="215"/>
      <c r="J38" s="454" t="s">
        <v>199</v>
      </c>
      <c r="K38" s="203">
        <v>0</v>
      </c>
      <c r="L38" s="430">
        <v>0</v>
      </c>
      <c r="M38" s="424">
        <v>0</v>
      </c>
      <c r="N38" s="441"/>
      <c r="O38" s="274">
        <v>3220000</v>
      </c>
      <c r="P38" s="424">
        <v>5800000</v>
      </c>
    </row>
    <row r="39" spans="1:15" ht="16.5" customHeight="1">
      <c r="A39" s="842"/>
      <c r="B39" s="455"/>
      <c r="C39" s="455"/>
      <c r="D39" s="455"/>
      <c r="E39" s="455"/>
      <c r="F39" s="720"/>
      <c r="G39" s="720"/>
      <c r="H39" s="460"/>
      <c r="I39" s="211"/>
      <c r="J39" s="454" t="s">
        <v>200</v>
      </c>
      <c r="K39" s="203">
        <v>0</v>
      </c>
      <c r="L39" s="430">
        <v>0</v>
      </c>
      <c r="M39" s="424">
        <v>0</v>
      </c>
      <c r="N39" s="441"/>
      <c r="O39" s="274">
        <v>1100000</v>
      </c>
    </row>
    <row r="40" spans="1:15" ht="16.5" customHeight="1">
      <c r="A40" s="842"/>
      <c r="B40" s="215"/>
      <c r="C40" s="215"/>
      <c r="D40" s="215"/>
      <c r="E40" s="215"/>
      <c r="F40" s="217"/>
      <c r="G40" s="217"/>
      <c r="H40" s="220"/>
      <c r="I40" s="216" t="s">
        <v>201</v>
      </c>
      <c r="J40" s="202"/>
      <c r="K40" s="203">
        <v>1080</v>
      </c>
      <c r="L40" s="430">
        <v>1080</v>
      </c>
      <c r="M40" s="424">
        <v>0</v>
      </c>
      <c r="N40" s="441"/>
      <c r="O40" s="274">
        <v>600000</v>
      </c>
    </row>
    <row r="41" spans="1:15" ht="16.5" customHeight="1">
      <c r="A41" s="842"/>
      <c r="B41" s="215"/>
      <c r="C41" s="215"/>
      <c r="D41" s="215"/>
      <c r="E41" s="215"/>
      <c r="F41" s="215"/>
      <c r="G41" s="213"/>
      <c r="H41" s="220"/>
      <c r="I41" s="217"/>
      <c r="J41" s="202" t="s">
        <v>202</v>
      </c>
      <c r="K41" s="203">
        <v>680</v>
      </c>
      <c r="L41" s="430">
        <v>680</v>
      </c>
      <c r="M41" s="424">
        <v>0</v>
      </c>
      <c r="N41" s="441"/>
      <c r="O41" s="274">
        <v>0</v>
      </c>
    </row>
    <row r="42" spans="1:15" ht="16.5" customHeight="1">
      <c r="A42" s="842"/>
      <c r="B42" s="215"/>
      <c r="C42" s="215"/>
      <c r="D42" s="215"/>
      <c r="E42" s="215"/>
      <c r="F42" s="215"/>
      <c r="G42" s="213"/>
      <c r="H42" s="220"/>
      <c r="I42" s="217"/>
      <c r="J42" s="202" t="s">
        <v>203</v>
      </c>
      <c r="K42" s="203">
        <v>400</v>
      </c>
      <c r="L42" s="430">
        <v>400</v>
      </c>
      <c r="M42" s="424">
        <v>0</v>
      </c>
      <c r="N42" s="441"/>
      <c r="O42" s="274">
        <v>0</v>
      </c>
    </row>
    <row r="43" spans="1:15" ht="16.5" customHeight="1" hidden="1">
      <c r="A43" s="842"/>
      <c r="B43" s="215"/>
      <c r="C43" s="215"/>
      <c r="D43" s="215"/>
      <c r="E43" s="215"/>
      <c r="F43" s="215"/>
      <c r="G43" s="213"/>
      <c r="H43" s="220"/>
      <c r="I43" s="217"/>
      <c r="J43" s="202" t="s">
        <v>204</v>
      </c>
      <c r="K43" s="203">
        <v>0</v>
      </c>
      <c r="L43" s="430">
        <v>0</v>
      </c>
      <c r="M43" s="424">
        <v>0</v>
      </c>
      <c r="N43" s="441"/>
      <c r="O43" s="274">
        <v>2000000</v>
      </c>
    </row>
    <row r="44" spans="1:15" ht="16.5" customHeight="1" hidden="1">
      <c r="A44" s="842"/>
      <c r="B44" s="215"/>
      <c r="C44" s="215"/>
      <c r="D44" s="215"/>
      <c r="E44" s="215"/>
      <c r="F44" s="215"/>
      <c r="G44" s="213"/>
      <c r="H44" s="220"/>
      <c r="I44" s="217"/>
      <c r="J44" s="202" t="s">
        <v>205</v>
      </c>
      <c r="K44" s="203">
        <v>0</v>
      </c>
      <c r="L44" s="430">
        <v>0</v>
      </c>
      <c r="M44" s="424">
        <v>0</v>
      </c>
      <c r="N44" s="441"/>
      <c r="O44" s="274">
        <v>16900000</v>
      </c>
    </row>
    <row r="45" spans="1:15" ht="18.75" customHeight="1" hidden="1">
      <c r="A45" s="842"/>
      <c r="B45" s="215"/>
      <c r="C45" s="215"/>
      <c r="D45" s="215"/>
      <c r="E45" s="215"/>
      <c r="F45" s="215"/>
      <c r="G45" s="213"/>
      <c r="H45" s="220"/>
      <c r="I45" s="86"/>
      <c r="J45" s="201" t="s">
        <v>206</v>
      </c>
      <c r="K45" s="205">
        <v>0</v>
      </c>
      <c r="L45" s="430">
        <v>0</v>
      </c>
      <c r="M45" s="424">
        <v>0</v>
      </c>
      <c r="N45" s="441"/>
      <c r="O45" s="274">
        <v>0</v>
      </c>
    </row>
    <row r="46" spans="1:15" ht="18.75" customHeight="1">
      <c r="A46" s="842"/>
      <c r="B46" s="215"/>
      <c r="C46" s="215"/>
      <c r="D46" s="215"/>
      <c r="E46" s="215"/>
      <c r="F46" s="215"/>
      <c r="G46" s="213"/>
      <c r="H46" s="221"/>
      <c r="I46" s="797" t="s">
        <v>190</v>
      </c>
      <c r="J46" s="201"/>
      <c r="K46" s="205">
        <v>20750</v>
      </c>
      <c r="L46" s="430">
        <v>20750</v>
      </c>
      <c r="M46" s="424">
        <v>0</v>
      </c>
      <c r="N46" s="441">
        <v>0</v>
      </c>
      <c r="O46" s="274">
        <v>0</v>
      </c>
    </row>
    <row r="47" spans="1:15" ht="18.75" customHeight="1">
      <c r="A47" s="842"/>
      <c r="B47" s="215"/>
      <c r="C47" s="215"/>
      <c r="D47" s="215"/>
      <c r="E47" s="215"/>
      <c r="F47" s="215"/>
      <c r="G47" s="213"/>
      <c r="H47" s="221"/>
      <c r="I47" s="642"/>
      <c r="J47" s="201" t="s">
        <v>207</v>
      </c>
      <c r="K47" s="205">
        <v>5000</v>
      </c>
      <c r="L47" s="430">
        <v>5000</v>
      </c>
      <c r="M47" s="424">
        <v>0</v>
      </c>
      <c r="N47" s="441">
        <v>0</v>
      </c>
      <c r="O47" s="274">
        <v>0</v>
      </c>
    </row>
    <row r="48" spans="1:15" ht="18.75" customHeight="1">
      <c r="A48" s="842"/>
      <c r="B48" s="215"/>
      <c r="C48" s="215"/>
      <c r="D48" s="215"/>
      <c r="E48" s="215"/>
      <c r="F48" s="215"/>
      <c r="G48" s="213"/>
      <c r="H48" s="221"/>
      <c r="I48" s="642"/>
      <c r="J48" s="201" t="s">
        <v>208</v>
      </c>
      <c r="K48" s="205">
        <v>10904</v>
      </c>
      <c r="L48" s="430">
        <v>10904</v>
      </c>
      <c r="M48" s="424">
        <v>0</v>
      </c>
      <c r="N48" s="441">
        <v>0</v>
      </c>
      <c r="O48" s="274">
        <v>0</v>
      </c>
    </row>
    <row r="49" spans="1:15" ht="18.75" customHeight="1">
      <c r="A49" s="842"/>
      <c r="B49" s="215"/>
      <c r="C49" s="215"/>
      <c r="D49" s="215"/>
      <c r="E49" s="215"/>
      <c r="F49" s="215"/>
      <c r="G49" s="213"/>
      <c r="H49" s="221"/>
      <c r="I49" s="642"/>
      <c r="J49" s="201" t="s">
        <v>209</v>
      </c>
      <c r="K49" s="205">
        <v>1346</v>
      </c>
      <c r="L49" s="430">
        <v>1346</v>
      </c>
      <c r="M49" s="424">
        <v>0</v>
      </c>
      <c r="N49" s="441">
        <v>0</v>
      </c>
      <c r="O49" s="274">
        <v>0</v>
      </c>
    </row>
    <row r="50" spans="1:15" ht="18.75" customHeight="1">
      <c r="A50" s="842"/>
      <c r="B50" s="215"/>
      <c r="C50" s="215"/>
      <c r="D50" s="215"/>
      <c r="E50" s="215"/>
      <c r="F50" s="215"/>
      <c r="G50" s="213"/>
      <c r="H50" s="221"/>
      <c r="I50" s="642"/>
      <c r="J50" s="201" t="s">
        <v>210</v>
      </c>
      <c r="K50" s="205">
        <v>500</v>
      </c>
      <c r="L50" s="430">
        <v>500</v>
      </c>
      <c r="M50" s="424">
        <v>0</v>
      </c>
      <c r="N50" s="441">
        <v>0</v>
      </c>
      <c r="O50" s="274">
        <v>0</v>
      </c>
    </row>
    <row r="51" spans="1:15" ht="16.5" customHeight="1" hidden="1">
      <c r="A51" s="842"/>
      <c r="B51" s="215"/>
      <c r="C51" s="215"/>
      <c r="D51" s="215"/>
      <c r="E51" s="215"/>
      <c r="F51" s="215"/>
      <c r="G51" s="213"/>
      <c r="H51" s="461"/>
      <c r="I51" s="210"/>
      <c r="J51" s="175" t="s">
        <v>211</v>
      </c>
      <c r="K51" s="205">
        <v>3000</v>
      </c>
      <c r="L51" s="430">
        <v>3000</v>
      </c>
      <c r="M51" s="424">
        <v>0</v>
      </c>
      <c r="N51" s="441">
        <v>0</v>
      </c>
      <c r="O51" s="274">
        <v>13530000</v>
      </c>
    </row>
    <row r="52" spans="1:15" ht="16.5" customHeight="1" hidden="1">
      <c r="A52" s="842"/>
      <c r="B52" s="163"/>
      <c r="C52" s="163"/>
      <c r="D52" s="163"/>
      <c r="E52" s="163"/>
      <c r="F52" s="163"/>
      <c r="G52" s="773"/>
      <c r="H52" s="222" t="s">
        <v>238</v>
      </c>
      <c r="I52" s="277"/>
      <c r="J52" s="277"/>
      <c r="K52" s="207">
        <v>0</v>
      </c>
      <c r="L52" s="430">
        <v>0</v>
      </c>
      <c r="M52" s="424">
        <v>0</v>
      </c>
      <c r="N52" s="441"/>
      <c r="O52" s="276">
        <v>1370000</v>
      </c>
    </row>
    <row r="53" spans="1:15" ht="16.5" customHeight="1" hidden="1">
      <c r="A53" s="842"/>
      <c r="B53" s="163"/>
      <c r="C53" s="163"/>
      <c r="D53" s="163"/>
      <c r="E53" s="163"/>
      <c r="F53" s="163"/>
      <c r="G53" s="773"/>
      <c r="H53" s="221"/>
      <c r="I53" s="175" t="s">
        <v>239</v>
      </c>
      <c r="J53" s="201"/>
      <c r="K53" s="205">
        <v>0</v>
      </c>
      <c r="L53" s="430">
        <v>0</v>
      </c>
      <c r="M53" s="424">
        <v>0</v>
      </c>
      <c r="N53" s="441"/>
      <c r="O53" s="274">
        <v>5350000</v>
      </c>
    </row>
    <row r="54" spans="1:15" ht="16.5" customHeight="1" hidden="1">
      <c r="A54" s="842"/>
      <c r="B54" s="163"/>
      <c r="C54" s="163"/>
      <c r="D54" s="163"/>
      <c r="E54" s="163"/>
      <c r="F54" s="163"/>
      <c r="G54" s="773"/>
      <c r="H54" s="221"/>
      <c r="I54" s="210"/>
      <c r="J54" s="201" t="s">
        <v>240</v>
      </c>
      <c r="K54" s="205">
        <v>0</v>
      </c>
      <c r="L54" s="430">
        <v>0</v>
      </c>
      <c r="M54" s="424">
        <v>0</v>
      </c>
      <c r="N54" s="441"/>
      <c r="O54" s="274">
        <v>2800000</v>
      </c>
    </row>
    <row r="55" spans="1:15" ht="16.5" customHeight="1" hidden="1">
      <c r="A55" s="842"/>
      <c r="B55" s="163"/>
      <c r="C55" s="163"/>
      <c r="D55" s="163"/>
      <c r="E55" s="163"/>
      <c r="F55" s="163"/>
      <c r="G55" s="773"/>
      <c r="H55" s="222" t="s">
        <v>135</v>
      </c>
      <c r="I55" s="450"/>
      <c r="J55" s="201"/>
      <c r="K55" s="205">
        <v>0</v>
      </c>
      <c r="L55" s="430">
        <v>0</v>
      </c>
      <c r="M55" s="424">
        <v>0</v>
      </c>
      <c r="N55" s="441"/>
      <c r="O55" s="274">
        <v>1100000</v>
      </c>
    </row>
    <row r="56" spans="1:15" ht="16.5" customHeight="1" hidden="1">
      <c r="A56" s="842"/>
      <c r="B56" s="163"/>
      <c r="C56" s="163"/>
      <c r="D56" s="163"/>
      <c r="E56" s="163"/>
      <c r="F56" s="163"/>
      <c r="G56" s="773"/>
      <c r="H56" s="221"/>
      <c r="I56" s="175" t="s">
        <v>212</v>
      </c>
      <c r="J56" s="201"/>
      <c r="K56" s="205">
        <v>0</v>
      </c>
      <c r="L56" s="205">
        <v>0</v>
      </c>
      <c r="M56" s="424">
        <v>0</v>
      </c>
      <c r="N56" s="441"/>
      <c r="O56" s="274">
        <v>2910000</v>
      </c>
    </row>
    <row r="57" spans="1:15" ht="18.75" customHeight="1" hidden="1">
      <c r="A57" s="842"/>
      <c r="B57" s="163"/>
      <c r="C57" s="163"/>
      <c r="D57" s="163"/>
      <c r="E57" s="163"/>
      <c r="F57" s="163"/>
      <c r="G57" s="773"/>
      <c r="H57" s="221"/>
      <c r="I57" s="450"/>
      <c r="J57" s="201" t="s">
        <v>213</v>
      </c>
      <c r="K57" s="205">
        <v>0</v>
      </c>
      <c r="L57" s="430">
        <v>0</v>
      </c>
      <c r="M57" s="424">
        <v>0</v>
      </c>
      <c r="N57" s="441"/>
      <c r="O57" s="274">
        <v>0</v>
      </c>
    </row>
    <row r="58" spans="1:15" ht="18.75" customHeight="1" hidden="1">
      <c r="A58" s="842"/>
      <c r="B58" s="163"/>
      <c r="C58" s="163"/>
      <c r="D58" s="163"/>
      <c r="E58" s="163"/>
      <c r="F58" s="163"/>
      <c r="G58" s="773"/>
      <c r="H58" s="221"/>
      <c r="I58" s="210"/>
      <c r="J58" s="201" t="s">
        <v>214</v>
      </c>
      <c r="K58" s="205">
        <v>0</v>
      </c>
      <c r="L58" s="430">
        <v>0</v>
      </c>
      <c r="M58" s="424">
        <v>0</v>
      </c>
      <c r="N58" s="441"/>
      <c r="O58" s="274">
        <v>0</v>
      </c>
    </row>
    <row r="59" spans="1:15" ht="18.75" customHeight="1" hidden="1">
      <c r="A59" s="842"/>
      <c r="B59" s="163"/>
      <c r="C59" s="163"/>
      <c r="D59" s="163"/>
      <c r="E59" s="163"/>
      <c r="F59" s="163"/>
      <c r="G59" s="773"/>
      <c r="H59" s="222" t="s">
        <v>136</v>
      </c>
      <c r="I59" s="773"/>
      <c r="J59" s="201"/>
      <c r="K59" s="207">
        <v>0</v>
      </c>
      <c r="L59" s="428">
        <v>0</v>
      </c>
      <c r="M59" s="425">
        <v>0</v>
      </c>
      <c r="N59" s="441" t="e">
        <v>#DIV/0!</v>
      </c>
      <c r="O59" s="274">
        <v>0</v>
      </c>
    </row>
    <row r="60" spans="1:15" ht="18.75" customHeight="1" hidden="1">
      <c r="A60" s="842"/>
      <c r="B60" s="163"/>
      <c r="C60" s="163"/>
      <c r="D60" s="163"/>
      <c r="E60" s="163"/>
      <c r="F60" s="163"/>
      <c r="G60" s="773"/>
      <c r="H60" s="221"/>
      <c r="I60" s="175" t="s">
        <v>215</v>
      </c>
      <c r="J60" s="201"/>
      <c r="K60" s="205">
        <v>0</v>
      </c>
      <c r="L60" s="430">
        <v>0</v>
      </c>
      <c r="M60" s="424">
        <v>0</v>
      </c>
      <c r="N60" s="441" t="e">
        <v>#DIV/0!</v>
      </c>
      <c r="O60" s="274">
        <v>0</v>
      </c>
    </row>
    <row r="61" spans="1:14" ht="18.75" customHeight="1" hidden="1">
      <c r="A61" s="842"/>
      <c r="B61" s="163"/>
      <c r="C61" s="163"/>
      <c r="D61" s="163"/>
      <c r="E61" s="163"/>
      <c r="F61" s="163"/>
      <c r="G61" s="773"/>
      <c r="H61" s="221"/>
      <c r="I61" s="210"/>
      <c r="J61" s="201" t="s">
        <v>215</v>
      </c>
      <c r="K61" s="205">
        <v>0</v>
      </c>
      <c r="L61" s="430">
        <v>0</v>
      </c>
      <c r="M61" s="424">
        <v>0</v>
      </c>
      <c r="N61" s="441" t="e">
        <v>#DIV/0!</v>
      </c>
    </row>
    <row r="62" spans="1:15" ht="18.75" customHeight="1" hidden="1">
      <c r="A62" s="842"/>
      <c r="B62" s="163"/>
      <c r="C62" s="163"/>
      <c r="D62" s="163"/>
      <c r="E62" s="163"/>
      <c r="F62" s="163"/>
      <c r="G62" s="773"/>
      <c r="H62" s="222" t="s">
        <v>347</v>
      </c>
      <c r="I62" s="773"/>
      <c r="J62" s="201"/>
      <c r="K62" s="494">
        <v>0</v>
      </c>
      <c r="L62" s="494">
        <v>0</v>
      </c>
      <c r="M62" s="425">
        <v>0</v>
      </c>
      <c r="N62" s="441"/>
      <c r="O62" s="274">
        <v>0</v>
      </c>
    </row>
    <row r="63" spans="1:15" ht="18.75" customHeight="1" hidden="1">
      <c r="A63" s="842"/>
      <c r="B63" s="163"/>
      <c r="C63" s="163"/>
      <c r="D63" s="163"/>
      <c r="E63" s="163"/>
      <c r="F63" s="163"/>
      <c r="G63" s="773"/>
      <c r="H63" s="221"/>
      <c r="I63" s="175" t="s">
        <v>348</v>
      </c>
      <c r="J63" s="201"/>
      <c r="K63" s="493">
        <v>0</v>
      </c>
      <c r="L63" s="493">
        <v>0</v>
      </c>
      <c r="M63" s="424">
        <v>0</v>
      </c>
      <c r="N63" s="441"/>
      <c r="O63" s="274">
        <v>0</v>
      </c>
    </row>
    <row r="64" spans="1:14" ht="16.5" customHeight="1" hidden="1">
      <c r="A64" s="842"/>
      <c r="B64" s="163"/>
      <c r="C64" s="163"/>
      <c r="D64" s="163"/>
      <c r="E64" s="163"/>
      <c r="F64" s="163"/>
      <c r="G64" s="773"/>
      <c r="H64" s="221"/>
      <c r="I64" s="210" t="s">
        <v>349</v>
      </c>
      <c r="J64" s="201" t="s">
        <v>348</v>
      </c>
      <c r="K64" s="493">
        <v>0</v>
      </c>
      <c r="L64" s="493">
        <v>0</v>
      </c>
      <c r="M64" s="424">
        <v>0</v>
      </c>
      <c r="N64" s="441"/>
    </row>
    <row r="65" spans="1:15" ht="16.5" customHeight="1">
      <c r="A65" s="842"/>
      <c r="B65" s="163"/>
      <c r="C65" s="163"/>
      <c r="D65" s="163"/>
      <c r="E65" s="163"/>
      <c r="F65" s="163"/>
      <c r="G65" s="773"/>
      <c r="H65" s="222" t="s">
        <v>346</v>
      </c>
      <c r="I65" s="201"/>
      <c r="J65" s="218"/>
      <c r="K65" s="492">
        <v>5374</v>
      </c>
      <c r="L65" s="440">
        <v>1000</v>
      </c>
      <c r="M65" s="459">
        <v>4374</v>
      </c>
      <c r="N65" s="441">
        <v>437.4</v>
      </c>
      <c r="O65" s="274">
        <v>69520</v>
      </c>
    </row>
    <row r="66" spans="1:15" ht="16.5" customHeight="1">
      <c r="A66" s="842"/>
      <c r="B66" s="163"/>
      <c r="C66" s="163"/>
      <c r="D66" s="163"/>
      <c r="E66" s="163"/>
      <c r="F66" s="163"/>
      <c r="G66" s="773"/>
      <c r="H66" s="221"/>
      <c r="I66" s="219" t="s">
        <v>216</v>
      </c>
      <c r="J66" s="218"/>
      <c r="K66" s="205">
        <v>5374</v>
      </c>
      <c r="L66" s="430">
        <v>1000</v>
      </c>
      <c r="M66" s="424">
        <v>4374</v>
      </c>
      <c r="N66" s="441">
        <v>437.4</v>
      </c>
      <c r="O66" s="274">
        <v>69520</v>
      </c>
    </row>
    <row r="67" spans="1:14" ht="15" thickBot="1">
      <c r="A67" s="843"/>
      <c r="B67" s="225"/>
      <c r="C67" s="225"/>
      <c r="D67" s="225"/>
      <c r="E67" s="225"/>
      <c r="F67" s="225"/>
      <c r="G67" s="226"/>
      <c r="H67" s="227"/>
      <c r="I67" s="228"/>
      <c r="J67" s="229" t="s">
        <v>216</v>
      </c>
      <c r="K67" s="206">
        <v>5374</v>
      </c>
      <c r="L67" s="431">
        <v>1000</v>
      </c>
      <c r="M67" s="426">
        <v>4374</v>
      </c>
      <c r="N67" s="495">
        <v>437.4</v>
      </c>
    </row>
    <row r="68" spans="8:14" ht="14.25">
      <c r="H68" s="795"/>
      <c r="I68" s="795"/>
      <c r="J68" s="795"/>
      <c r="K68" s="748" t="s">
        <v>266</v>
      </c>
      <c r="L68" s="748"/>
      <c r="M68" s="748"/>
      <c r="N68" s="748"/>
    </row>
  </sheetData>
  <mergeCells count="21">
    <mergeCell ref="E4:E5"/>
    <mergeCell ref="H4:H5"/>
    <mergeCell ref="A28:A31"/>
    <mergeCell ref="H3:N3"/>
    <mergeCell ref="H24:H25"/>
    <mergeCell ref="A32:A67"/>
    <mergeCell ref="A1:N1"/>
    <mergeCell ref="K4:K5"/>
    <mergeCell ref="L4:L5"/>
    <mergeCell ref="I4:I5"/>
    <mergeCell ref="J4:J5"/>
    <mergeCell ref="A3:G3"/>
    <mergeCell ref="K2:N2"/>
    <mergeCell ref="A6:C6"/>
    <mergeCell ref="H6:J6"/>
    <mergeCell ref="F4:G4"/>
    <mergeCell ref="M4:N4"/>
    <mergeCell ref="A4:A5"/>
    <mergeCell ref="B4:B5"/>
    <mergeCell ref="C4:C5"/>
    <mergeCell ref="D4:D5"/>
  </mergeCells>
  <printOptions/>
  <pageMargins left="0.5905511811023623" right="0.1968503937007874" top="0.5511811023622047" bottom="0.2362204724409449" header="0.5118110236220472" footer="0.2755905511811024"/>
  <pageSetup horizontalDpi="600" verticalDpi="600" orientation="landscape" paperSize="9" scale="95" r:id="rId1"/>
  <headerFooter alignWithMargins="0">
    <oddFooter>&amp;C-&amp;P+3-</oddFooter>
  </headerFooter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2"/>
  <sheetViews>
    <sheetView view="pageBreakPreview" zoomScale="115" zoomScaleSheetLayoutView="115" zoomScalePageLayoutView="55" workbookViewId="0" topLeftCell="A4">
      <selection activeCell="E4" sqref="E4"/>
    </sheetView>
  </sheetViews>
  <sheetFormatPr defaultColWidth="8.88671875" defaultRowHeight="13.5"/>
  <cols>
    <col min="1" max="1" width="9.99609375" style="0" customWidth="1"/>
    <col min="2" max="2" width="10.21484375" style="0" customWidth="1"/>
    <col min="3" max="3" width="10.3359375" style="0" customWidth="1"/>
    <col min="4" max="4" width="10.99609375" style="0" customWidth="1"/>
    <col min="5" max="5" width="13.88671875" style="0" customWidth="1"/>
    <col min="6" max="6" width="10.88671875" style="0" customWidth="1"/>
    <col min="7" max="7" width="10.77734375" style="264" customWidth="1"/>
    <col min="8" max="8" width="17.10546875" style="0" customWidth="1"/>
    <col min="9" max="9" width="11.21484375" style="0" customWidth="1"/>
    <col min="10" max="10" width="1.66796875" style="0" customWidth="1"/>
    <col min="11" max="11" width="1.99609375" style="0" customWidth="1"/>
    <col min="12" max="12" width="2.5546875" style="0" customWidth="1"/>
    <col min="13" max="13" width="2.10546875" style="0" customWidth="1"/>
    <col min="14" max="14" width="1.99609375" style="0" customWidth="1"/>
    <col min="15" max="16" width="2.6640625" style="0" customWidth="1"/>
    <col min="17" max="17" width="2.4453125" style="0" customWidth="1"/>
    <col min="18" max="18" width="2.10546875" style="0" customWidth="1"/>
    <col min="19" max="19" width="2.5546875" style="0" customWidth="1"/>
    <col min="20" max="20" width="1.2265625" style="0" customWidth="1"/>
    <col min="21" max="21" width="2.21484375" style="0" customWidth="1"/>
    <col min="22" max="22" width="1.66796875" style="0" customWidth="1"/>
    <col min="23" max="23" width="2.5546875" style="0" hidden="1" customWidth="1"/>
    <col min="24" max="24" width="12.10546875" style="0" customWidth="1"/>
    <col min="25" max="25" width="10.21484375" style="0" customWidth="1"/>
    <col min="26" max="26" width="16.5546875" style="0" hidden="1" customWidth="1"/>
    <col min="27" max="27" width="3.3359375" style="0" customWidth="1"/>
  </cols>
  <sheetData>
    <row r="1" spans="1:25" s="5" customFormat="1" ht="35.25" customHeight="1">
      <c r="A1" s="895" t="s">
        <v>735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757"/>
    </row>
    <row r="2" spans="1:25" s="5" customFormat="1" ht="18.75" customHeight="1" thickBot="1">
      <c r="A2" s="890"/>
      <c r="B2" s="890"/>
      <c r="C2" s="890"/>
      <c r="D2" s="54"/>
      <c r="E2" s="54"/>
      <c r="F2" s="470"/>
      <c r="G2" s="266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5" t="s">
        <v>279</v>
      </c>
      <c r="Y2" s="55"/>
    </row>
    <row r="3" spans="1:26" ht="33.75" customHeight="1" thickBot="1">
      <c r="A3" s="374" t="s">
        <v>0</v>
      </c>
      <c r="B3" s="764" t="s">
        <v>1</v>
      </c>
      <c r="C3" s="764" t="s">
        <v>2</v>
      </c>
      <c r="D3" s="764" t="s">
        <v>30</v>
      </c>
      <c r="E3" s="384" t="s">
        <v>338</v>
      </c>
      <c r="F3" s="687" t="s">
        <v>678</v>
      </c>
      <c r="G3" s="375" t="s">
        <v>339</v>
      </c>
      <c r="H3" s="893" t="s">
        <v>31</v>
      </c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4"/>
      <c r="Y3" s="808"/>
      <c r="Z3" s="172">
        <v>488000000</v>
      </c>
    </row>
    <row r="4" spans="1:26" s="6" customFormat="1" ht="33.75" customHeight="1" thickBot="1">
      <c r="A4" s="904" t="s">
        <v>35</v>
      </c>
      <c r="B4" s="905"/>
      <c r="C4" s="905"/>
      <c r="D4" s="905"/>
      <c r="E4" s="423">
        <f>SUM(E5,E10,E59,E67,E75,E80,E92)</f>
        <v>1077100.229</v>
      </c>
      <c r="F4" s="423">
        <v>985960.3620000001</v>
      </c>
      <c r="G4" s="471">
        <f>E4-F4</f>
        <v>91139.86699999997</v>
      </c>
      <c r="H4" s="389" t="s">
        <v>721</v>
      </c>
      <c r="I4" s="377"/>
      <c r="J4" s="378"/>
      <c r="K4" s="379"/>
      <c r="L4" s="379"/>
      <c r="M4" s="378"/>
      <c r="N4" s="378"/>
      <c r="O4" s="378"/>
      <c r="P4" s="380"/>
      <c r="Q4" s="380"/>
      <c r="R4" s="378"/>
      <c r="S4" s="378"/>
      <c r="T4" s="378"/>
      <c r="U4" s="378"/>
      <c r="V4" s="378"/>
      <c r="W4" s="376"/>
      <c r="X4" s="381"/>
      <c r="Y4" s="377"/>
      <c r="Z4" s="173">
        <f>Z3-E4</f>
        <v>486922899.771</v>
      </c>
    </row>
    <row r="5" spans="1:26" ht="20.25" customHeight="1">
      <c r="A5" s="870" t="s">
        <v>44</v>
      </c>
      <c r="B5" s="382"/>
      <c r="C5" s="182"/>
      <c r="D5" s="182"/>
      <c r="E5" s="235">
        <f>SUM(E6)</f>
        <v>48972</v>
      </c>
      <c r="F5" s="235">
        <v>44748</v>
      </c>
      <c r="G5" s="473">
        <f aca="true" t="shared" si="0" ref="G5:G7">E5-F5</f>
        <v>4224</v>
      </c>
      <c r="H5" s="105"/>
      <c r="I5" s="106"/>
      <c r="J5" s="107"/>
      <c r="K5" s="108"/>
      <c r="L5" s="108"/>
      <c r="M5" s="107"/>
      <c r="N5" s="107"/>
      <c r="O5" s="107"/>
      <c r="P5" s="158"/>
      <c r="Q5" s="158"/>
      <c r="R5" s="107"/>
      <c r="S5" s="107"/>
      <c r="T5" s="107"/>
      <c r="U5" s="107"/>
      <c r="V5" s="107"/>
      <c r="W5" s="110"/>
      <c r="X5" s="383"/>
      <c r="Y5" s="582"/>
      <c r="Z5">
        <v>17010000</v>
      </c>
    </row>
    <row r="6" spans="1:27" ht="18.75" customHeight="1">
      <c r="A6" s="871"/>
      <c r="B6" s="872" t="s">
        <v>19</v>
      </c>
      <c r="C6" s="178"/>
      <c r="D6" s="806"/>
      <c r="E6" s="90">
        <f>SUM(E7)</f>
        <v>48972</v>
      </c>
      <c r="F6" s="85">
        <v>44748</v>
      </c>
      <c r="G6" s="364">
        <f t="shared" si="0"/>
        <v>4224</v>
      </c>
      <c r="H6" s="68"/>
      <c r="I6" s="69"/>
      <c r="J6" s="758"/>
      <c r="K6" s="70"/>
      <c r="L6" s="70"/>
      <c r="M6" s="758"/>
      <c r="N6" s="758"/>
      <c r="O6" s="758"/>
      <c r="P6" s="71"/>
      <c r="Q6" s="71"/>
      <c r="R6" s="758"/>
      <c r="S6" s="758"/>
      <c r="T6" s="758"/>
      <c r="U6" s="758"/>
      <c r="V6" s="758"/>
      <c r="W6" s="72"/>
      <c r="X6" s="122"/>
      <c r="Y6" s="582"/>
      <c r="Z6" s="253">
        <v>17010000</v>
      </c>
      <c r="AA6" s="264" t="e">
        <f>#REF!/E6</f>
        <v>#REF!</v>
      </c>
    </row>
    <row r="7" spans="1:26" ht="18.75" customHeight="1">
      <c r="A7" s="805"/>
      <c r="B7" s="867"/>
      <c r="C7" s="898" t="s">
        <v>20</v>
      </c>
      <c r="D7" s="791"/>
      <c r="E7" s="85">
        <f>E8</f>
        <v>48972</v>
      </c>
      <c r="F7" s="136">
        <v>44748</v>
      </c>
      <c r="G7" s="364">
        <f t="shared" si="0"/>
        <v>4224</v>
      </c>
      <c r="H7" s="891"/>
      <c r="I7" s="892"/>
      <c r="J7" s="892"/>
      <c r="K7" s="892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123"/>
      <c r="Y7" s="809"/>
      <c r="Z7">
        <v>17010000</v>
      </c>
    </row>
    <row r="8" spans="1:26" ht="18.75" customHeight="1">
      <c r="A8" s="805"/>
      <c r="B8" s="791"/>
      <c r="C8" s="899"/>
      <c r="D8" s="872" t="s">
        <v>32</v>
      </c>
      <c r="E8" s="83">
        <f>Y8/1000</f>
        <v>48972</v>
      </c>
      <c r="F8" s="83">
        <v>44748</v>
      </c>
      <c r="G8" s="364">
        <f>E8-F8</f>
        <v>4224</v>
      </c>
      <c r="H8" s="906" t="s">
        <v>679</v>
      </c>
      <c r="I8" s="907"/>
      <c r="J8" s="907"/>
      <c r="K8" s="907"/>
      <c r="L8" s="907"/>
      <c r="M8" s="907"/>
      <c r="N8" s="907"/>
      <c r="O8" s="907"/>
      <c r="P8" s="907"/>
      <c r="Q8" s="907"/>
      <c r="R8" s="907"/>
      <c r="S8" s="907"/>
      <c r="T8" s="907"/>
      <c r="U8" s="907"/>
      <c r="V8" s="755"/>
      <c r="W8" s="777"/>
      <c r="X8" s="701">
        <v>4224000</v>
      </c>
      <c r="Y8" s="701">
        <f>371000*11*12</f>
        <v>48972000</v>
      </c>
      <c r="Z8">
        <v>17010000</v>
      </c>
    </row>
    <row r="9" spans="1:25" ht="15.75" customHeight="1" thickBot="1">
      <c r="A9" s="190"/>
      <c r="B9" s="663"/>
      <c r="C9" s="240"/>
      <c r="D9" s="873"/>
      <c r="E9" s="138"/>
      <c r="F9" s="138"/>
      <c r="G9" s="269"/>
      <c r="H9" s="113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702"/>
      <c r="Y9" s="167"/>
    </row>
    <row r="10" spans="1:26" ht="20.25" customHeight="1">
      <c r="A10" s="900" t="s">
        <v>45</v>
      </c>
      <c r="B10" s="333"/>
      <c r="C10" s="182"/>
      <c r="D10" s="182"/>
      <c r="E10" s="235">
        <f>SUM(E11)</f>
        <v>954711.422</v>
      </c>
      <c r="F10" s="235">
        <v>899233.3620000001</v>
      </c>
      <c r="G10" s="474">
        <f aca="true" t="shared" si="1" ref="G10:G12">E10-F10</f>
        <v>55478.05999999994</v>
      </c>
      <c r="H10" s="58"/>
      <c r="I10" s="59"/>
      <c r="J10" s="640"/>
      <c r="K10" s="78"/>
      <c r="L10" s="78"/>
      <c r="M10" s="640"/>
      <c r="N10" s="640"/>
      <c r="O10" s="640"/>
      <c r="P10" s="61"/>
      <c r="Q10" s="61"/>
      <c r="R10" s="640"/>
      <c r="S10" s="640"/>
      <c r="T10" s="640"/>
      <c r="U10" s="640"/>
      <c r="V10" s="640"/>
      <c r="W10" s="780"/>
      <c r="X10" s="125"/>
      <c r="Y10" s="236"/>
      <c r="Z10">
        <v>499892960</v>
      </c>
    </row>
    <row r="11" spans="1:26" ht="21" customHeight="1">
      <c r="A11" s="901"/>
      <c r="B11" s="902" t="s">
        <v>33</v>
      </c>
      <c r="C11" s="177"/>
      <c r="D11" s="177"/>
      <c r="E11" s="136">
        <f>SUM(E12+E53+E56)</f>
        <v>954711.422</v>
      </c>
      <c r="F11" s="136">
        <v>899233.3620000001</v>
      </c>
      <c r="G11" s="388">
        <f t="shared" si="1"/>
        <v>55478.05999999994</v>
      </c>
      <c r="H11" s="68"/>
      <c r="I11" s="69"/>
      <c r="J11" s="758"/>
      <c r="K11" s="70"/>
      <c r="L11" s="70"/>
      <c r="M11" s="758"/>
      <c r="N11" s="758"/>
      <c r="O11" s="758"/>
      <c r="P11" s="71"/>
      <c r="Q11" s="71"/>
      <c r="R11" s="758"/>
      <c r="S11" s="758"/>
      <c r="T11" s="758"/>
      <c r="U11" s="758"/>
      <c r="V11" s="758"/>
      <c r="W11" s="72"/>
      <c r="X11" s="124"/>
      <c r="Y11" s="236"/>
      <c r="Z11">
        <v>499892960</v>
      </c>
    </row>
    <row r="12" spans="1:26" ht="21" customHeight="1">
      <c r="A12" s="183"/>
      <c r="B12" s="903"/>
      <c r="C12" s="872" t="s">
        <v>34</v>
      </c>
      <c r="D12" s="177"/>
      <c r="E12" s="136">
        <f>SUM(E13,E27,E29,E31,E33,E35,E37,E39,E45,E43,E41,E49,E51,E47)</f>
        <v>954711.422</v>
      </c>
      <c r="F12" s="136">
        <v>899233.3620000001</v>
      </c>
      <c r="G12" s="388">
        <f t="shared" si="1"/>
        <v>55478.05999999994</v>
      </c>
      <c r="H12" s="896"/>
      <c r="I12" s="897"/>
      <c r="J12" s="758"/>
      <c r="K12" s="70"/>
      <c r="L12" s="70"/>
      <c r="M12" s="758"/>
      <c r="N12" s="758"/>
      <c r="O12" s="758"/>
      <c r="P12" s="71"/>
      <c r="Q12" s="71"/>
      <c r="R12" s="758"/>
      <c r="S12" s="758"/>
      <c r="T12" s="758"/>
      <c r="U12" s="758"/>
      <c r="V12" s="758"/>
      <c r="W12" s="72"/>
      <c r="X12" s="124"/>
      <c r="Y12" s="236"/>
      <c r="Z12">
        <v>499892960</v>
      </c>
    </row>
    <row r="13" spans="1:30" ht="15.75" customHeight="1">
      <c r="A13" s="805"/>
      <c r="B13" s="184"/>
      <c r="C13" s="867"/>
      <c r="D13" s="791" t="s">
        <v>248</v>
      </c>
      <c r="E13" s="85">
        <f>SUM(Y13,Y14,Y15,Y16,Y18,Y19,Y20,Y21,Y22,Y23,Y24,Y25,Y26)/1000</f>
        <v>851880.29</v>
      </c>
      <c r="F13" s="85">
        <v>801948.55</v>
      </c>
      <c r="G13" s="385">
        <f>E13-F13</f>
        <v>49931.73999999999</v>
      </c>
      <c r="H13" s="771" t="s">
        <v>299</v>
      </c>
      <c r="I13" s="889" t="s">
        <v>680</v>
      </c>
      <c r="J13" s="889"/>
      <c r="K13" s="889"/>
      <c r="L13" s="889"/>
      <c r="M13" s="889"/>
      <c r="N13" s="889"/>
      <c r="O13" s="889"/>
      <c r="P13" s="889"/>
      <c r="Q13" s="889"/>
      <c r="R13" s="889"/>
      <c r="S13" s="889"/>
      <c r="T13" s="467"/>
      <c r="U13" s="80"/>
      <c r="V13" s="167"/>
      <c r="W13" s="167"/>
      <c r="X13" s="820">
        <f>475677000-450684000</f>
        <v>24993000</v>
      </c>
      <c r="Y13" s="909">
        <v>475677000</v>
      </c>
      <c r="Z13" s="909"/>
      <c r="AA13" s="910"/>
      <c r="AB13" s="10"/>
      <c r="AC13" s="10"/>
      <c r="AD13" s="14"/>
    </row>
    <row r="14" spans="1:30" ht="15.75" customHeight="1">
      <c r="A14" s="63"/>
      <c r="B14" s="507"/>
      <c r="C14" s="784"/>
      <c r="D14" s="784"/>
      <c r="E14" s="85"/>
      <c r="F14" s="85"/>
      <c r="G14" s="365"/>
      <c r="H14" s="771" t="s">
        <v>300</v>
      </c>
      <c r="I14" s="889" t="s">
        <v>681</v>
      </c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467"/>
      <c r="U14" s="80"/>
      <c r="V14" s="167"/>
      <c r="W14" s="167"/>
      <c r="X14" s="820">
        <f>46928400-37654000</f>
        <v>9274400</v>
      </c>
      <c r="Y14" s="909">
        <v>46928400</v>
      </c>
      <c r="Z14" s="909"/>
      <c r="AA14" s="910"/>
      <c r="AB14" s="12"/>
      <c r="AC14" s="12"/>
      <c r="AD14" s="17"/>
    </row>
    <row r="15" spans="1:30" ht="15.75" customHeight="1">
      <c r="A15" s="63"/>
      <c r="B15" s="507"/>
      <c r="C15" s="784"/>
      <c r="D15" s="784"/>
      <c r="E15" s="85"/>
      <c r="F15" s="85"/>
      <c r="G15" s="365"/>
      <c r="H15" s="771" t="s">
        <v>301</v>
      </c>
      <c r="I15" s="889" t="s">
        <v>682</v>
      </c>
      <c r="J15" s="889"/>
      <c r="K15" s="889"/>
      <c r="L15" s="889"/>
      <c r="M15" s="889"/>
      <c r="N15" s="889"/>
      <c r="O15" s="889"/>
      <c r="P15" s="889"/>
      <c r="Q15" s="889"/>
      <c r="R15" s="889"/>
      <c r="S15" s="889"/>
      <c r="T15" s="467"/>
      <c r="U15" s="80"/>
      <c r="V15" s="167"/>
      <c r="W15" s="167"/>
      <c r="X15" s="820">
        <v>0</v>
      </c>
      <c r="Y15" s="909">
        <v>3600000</v>
      </c>
      <c r="Z15" s="909"/>
      <c r="AA15" s="910"/>
      <c r="AB15" s="12"/>
      <c r="AC15" s="12"/>
      <c r="AD15" s="17" t="e">
        <f>I15*K15*P15</f>
        <v>#VALUE!</v>
      </c>
    </row>
    <row r="16" spans="1:30" ht="15.75" customHeight="1">
      <c r="A16" s="63"/>
      <c r="B16" s="507"/>
      <c r="C16" s="784"/>
      <c r="D16" s="784"/>
      <c r="E16" s="85"/>
      <c r="F16" s="85"/>
      <c r="G16" s="365"/>
      <c r="H16" s="771" t="s">
        <v>302</v>
      </c>
      <c r="I16" s="889" t="s">
        <v>683</v>
      </c>
      <c r="J16" s="889"/>
      <c r="K16" s="889"/>
      <c r="L16" s="889"/>
      <c r="M16" s="889"/>
      <c r="N16" s="889"/>
      <c r="O16" s="889"/>
      <c r="P16" s="889"/>
      <c r="Q16" s="889"/>
      <c r="R16" s="889"/>
      <c r="S16" s="889"/>
      <c r="T16" s="467"/>
      <c r="U16" s="80"/>
      <c r="V16" s="167"/>
      <c r="W16" s="167"/>
      <c r="X16" s="820">
        <f>157920190-149992350</f>
        <v>7927840</v>
      </c>
      <c r="Y16" s="909">
        <v>157920190</v>
      </c>
      <c r="Z16" s="909"/>
      <c r="AA16" s="910"/>
      <c r="AB16" s="12"/>
      <c r="AC16" s="12"/>
      <c r="AD16" s="17"/>
    </row>
    <row r="17" spans="1:30" ht="15.75" customHeight="1">
      <c r="A17" s="63"/>
      <c r="B17" s="507"/>
      <c r="C17" s="784"/>
      <c r="D17" s="784"/>
      <c r="E17" s="85"/>
      <c r="F17" s="85"/>
      <c r="G17" s="365"/>
      <c r="H17" s="767"/>
      <c r="I17" s="911" t="s">
        <v>337</v>
      </c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779"/>
      <c r="U17" s="779"/>
      <c r="V17" s="167"/>
      <c r="W17" s="167"/>
      <c r="X17" s="820"/>
      <c r="Y17" s="49"/>
      <c r="Z17" s="49"/>
      <c r="AA17" s="468"/>
      <c r="AB17" s="12"/>
      <c r="AC17" s="12"/>
      <c r="AD17" s="17" t="e">
        <f>I18*K18*P18</f>
        <v>#VALUE!</v>
      </c>
    </row>
    <row r="18" spans="1:30" ht="15.75" customHeight="1">
      <c r="A18" s="63"/>
      <c r="B18" s="507"/>
      <c r="C18" s="784"/>
      <c r="D18" s="784"/>
      <c r="E18" s="85"/>
      <c r="F18" s="85"/>
      <c r="G18" s="365"/>
      <c r="H18" s="771" t="s">
        <v>303</v>
      </c>
      <c r="I18" s="889" t="s">
        <v>334</v>
      </c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467"/>
      <c r="U18" s="80"/>
      <c r="V18" s="167"/>
      <c r="W18" s="167"/>
      <c r="X18" s="820"/>
      <c r="Y18" s="909">
        <v>7680000</v>
      </c>
      <c r="Z18" s="909"/>
      <c r="AA18" s="910"/>
      <c r="AB18" s="12"/>
      <c r="AC18" s="12"/>
      <c r="AD18" s="17" t="e">
        <f>I19*K19*P19</f>
        <v>#VALUE!</v>
      </c>
    </row>
    <row r="19" spans="1:30" ht="15.75" customHeight="1">
      <c r="A19" s="63"/>
      <c r="B19" s="507"/>
      <c r="C19" s="784"/>
      <c r="D19" s="784"/>
      <c r="E19" s="85"/>
      <c r="F19" s="85"/>
      <c r="G19" s="365"/>
      <c r="H19" s="771" t="s">
        <v>304</v>
      </c>
      <c r="I19" s="889" t="s">
        <v>439</v>
      </c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467"/>
      <c r="U19" s="80"/>
      <c r="V19" s="167"/>
      <c r="W19" s="167"/>
      <c r="X19" s="820"/>
      <c r="Y19" s="909">
        <v>25200000</v>
      </c>
      <c r="Z19" s="909"/>
      <c r="AA19" s="910"/>
      <c r="AB19" s="12"/>
      <c r="AC19" s="12"/>
      <c r="AD19" s="17"/>
    </row>
    <row r="20" spans="1:30" ht="15.75" customHeight="1">
      <c r="A20" s="63"/>
      <c r="B20" s="507"/>
      <c r="C20" s="784"/>
      <c r="D20" s="784"/>
      <c r="E20" s="85"/>
      <c r="F20" s="85"/>
      <c r="G20" s="365"/>
      <c r="H20" s="771" t="s">
        <v>305</v>
      </c>
      <c r="I20" s="889" t="s">
        <v>444</v>
      </c>
      <c r="J20" s="889"/>
      <c r="K20" s="889"/>
      <c r="L20" s="889"/>
      <c r="M20" s="889"/>
      <c r="N20" s="889"/>
      <c r="O20" s="889"/>
      <c r="P20" s="889"/>
      <c r="Q20" s="889"/>
      <c r="R20" s="889"/>
      <c r="S20" s="889"/>
      <c r="T20" s="467"/>
      <c r="U20" s="80"/>
      <c r="V20" s="167"/>
      <c r="W20" s="167"/>
      <c r="X20" s="820"/>
      <c r="Y20" s="909">
        <v>7680000</v>
      </c>
      <c r="Z20" s="909"/>
      <c r="AA20" s="910"/>
      <c r="AB20" s="12"/>
      <c r="AC20" s="12"/>
      <c r="AD20" s="17"/>
    </row>
    <row r="21" spans="1:30" ht="15.75" customHeight="1">
      <c r="A21" s="63"/>
      <c r="B21" s="507"/>
      <c r="C21" s="784"/>
      <c r="D21" s="784"/>
      <c r="E21" s="85"/>
      <c r="F21" s="85"/>
      <c r="G21" s="365"/>
      <c r="H21" s="771" t="s">
        <v>306</v>
      </c>
      <c r="I21" s="889" t="s">
        <v>708</v>
      </c>
      <c r="J21" s="889"/>
      <c r="K21" s="889"/>
      <c r="L21" s="889"/>
      <c r="M21" s="889"/>
      <c r="N21" s="889"/>
      <c r="O21" s="889"/>
      <c r="P21" s="889"/>
      <c r="Q21" s="889"/>
      <c r="R21" s="889"/>
      <c r="S21" s="889"/>
      <c r="T21" s="467"/>
      <c r="U21" s="80"/>
      <c r="V21" s="167"/>
      <c r="W21" s="167"/>
      <c r="X21" s="820">
        <f>60373790-56874190</f>
        <v>3499600</v>
      </c>
      <c r="Y21" s="909">
        <v>60373790</v>
      </c>
      <c r="Z21" s="909"/>
      <c r="AA21" s="910"/>
      <c r="AB21" s="12"/>
      <c r="AC21" s="12"/>
      <c r="AD21" s="17"/>
    </row>
    <row r="22" spans="1:30" ht="15.75" customHeight="1">
      <c r="A22" s="63"/>
      <c r="B22" s="507"/>
      <c r="C22" s="784"/>
      <c r="D22" s="784"/>
      <c r="E22" s="85"/>
      <c r="F22" s="85"/>
      <c r="G22" s="365"/>
      <c r="H22" s="771" t="s">
        <v>307</v>
      </c>
      <c r="I22" s="889" t="s">
        <v>709</v>
      </c>
      <c r="J22" s="889"/>
      <c r="K22" s="889"/>
      <c r="L22" s="889"/>
      <c r="M22" s="889"/>
      <c r="N22" s="889"/>
      <c r="O22" s="889"/>
      <c r="P22" s="889"/>
      <c r="Q22" s="889"/>
      <c r="R22" s="889"/>
      <c r="S22" s="889"/>
      <c r="T22" s="467"/>
      <c r="U22" s="80"/>
      <c r="V22" s="167"/>
      <c r="W22" s="167"/>
      <c r="X22" s="820">
        <f>21372320-19792220</f>
        <v>1580100</v>
      </c>
      <c r="Y22" s="909">
        <v>21372320</v>
      </c>
      <c r="Z22" s="909"/>
      <c r="AA22" s="910"/>
      <c r="AB22" s="12"/>
      <c r="AC22" s="12"/>
      <c r="AD22" s="17" t="e">
        <f>I22*K22*P22</f>
        <v>#VALUE!</v>
      </c>
    </row>
    <row r="23" spans="1:30" ht="15.75" customHeight="1">
      <c r="A23" s="63"/>
      <c r="B23" s="507"/>
      <c r="C23" s="784"/>
      <c r="D23" s="784"/>
      <c r="E23" s="85"/>
      <c r="F23" s="85"/>
      <c r="G23" s="365"/>
      <c r="H23" s="771" t="s">
        <v>308</v>
      </c>
      <c r="I23" s="889" t="s">
        <v>684</v>
      </c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467"/>
      <c r="U23" s="80"/>
      <c r="V23" s="167"/>
      <c r="W23" s="167"/>
      <c r="X23" s="820">
        <f>1399880-1296390</f>
        <v>103490</v>
      </c>
      <c r="Y23" s="909">
        <v>1399880</v>
      </c>
      <c r="Z23" s="909"/>
      <c r="AA23" s="910"/>
      <c r="AB23" s="12"/>
      <c r="AC23" s="12"/>
      <c r="AD23" s="17"/>
    </row>
    <row r="24" spans="1:30" ht="15.75" customHeight="1">
      <c r="A24" s="63"/>
      <c r="B24" s="507"/>
      <c r="C24" s="784"/>
      <c r="D24" s="784"/>
      <c r="E24" s="85"/>
      <c r="F24" s="85"/>
      <c r="G24" s="365"/>
      <c r="H24" s="771" t="s">
        <v>309</v>
      </c>
      <c r="I24" s="908" t="s">
        <v>712</v>
      </c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467"/>
      <c r="U24" s="80"/>
      <c r="V24" s="167"/>
      <c r="W24" s="167"/>
      <c r="X24" s="820">
        <f>32601850-30712060</f>
        <v>1889790</v>
      </c>
      <c r="Y24" s="909">
        <v>32601850</v>
      </c>
      <c r="Z24" s="909"/>
      <c r="AA24" s="910"/>
      <c r="AB24" s="12"/>
      <c r="AC24" s="12"/>
      <c r="AD24" s="17"/>
    </row>
    <row r="25" spans="1:30" ht="15.75" customHeight="1">
      <c r="A25" s="63"/>
      <c r="B25" s="507"/>
      <c r="C25" s="784"/>
      <c r="D25" s="784"/>
      <c r="E25" s="85"/>
      <c r="F25" s="85"/>
      <c r="G25" s="365"/>
      <c r="H25" s="771" t="s">
        <v>310</v>
      </c>
      <c r="I25" s="908" t="s">
        <v>711</v>
      </c>
      <c r="J25" s="908"/>
      <c r="K25" s="908"/>
      <c r="L25" s="908"/>
      <c r="M25" s="908"/>
      <c r="N25" s="908"/>
      <c r="O25" s="908"/>
      <c r="P25" s="908"/>
      <c r="Q25" s="908"/>
      <c r="R25" s="908"/>
      <c r="S25" s="908"/>
      <c r="T25" s="467"/>
      <c r="U25" s="80"/>
      <c r="V25" s="167"/>
      <c r="W25" s="167"/>
      <c r="X25" s="820">
        <f>5650980-5323420</f>
        <v>327560</v>
      </c>
      <c r="Y25" s="909">
        <v>5650980</v>
      </c>
      <c r="Z25" s="909"/>
      <c r="AA25" s="910"/>
      <c r="AB25" s="12"/>
      <c r="AC25" s="12"/>
      <c r="AD25" s="17"/>
    </row>
    <row r="26" spans="1:30" ht="15.75" customHeight="1">
      <c r="A26" s="63"/>
      <c r="B26" s="507"/>
      <c r="C26" s="784"/>
      <c r="D26" s="784"/>
      <c r="E26" s="85"/>
      <c r="F26" s="85"/>
      <c r="G26" s="365"/>
      <c r="H26" s="771" t="s">
        <v>311</v>
      </c>
      <c r="I26" s="908" t="s">
        <v>710</v>
      </c>
      <c r="J26" s="908"/>
      <c r="K26" s="908"/>
      <c r="L26" s="908"/>
      <c r="M26" s="908"/>
      <c r="N26" s="908"/>
      <c r="O26" s="908"/>
      <c r="P26" s="908"/>
      <c r="Q26" s="908"/>
      <c r="R26" s="908"/>
      <c r="S26" s="908"/>
      <c r="T26" s="467"/>
      <c r="U26" s="80"/>
      <c r="V26" s="167"/>
      <c r="W26" s="167"/>
      <c r="X26" s="820">
        <f>5795880-5459920</f>
        <v>335960</v>
      </c>
      <c r="Y26" s="909">
        <v>5795880</v>
      </c>
      <c r="Z26" s="909"/>
      <c r="AA26" s="910"/>
      <c r="AB26" s="12"/>
      <c r="AC26" s="12"/>
      <c r="AD26" s="17"/>
    </row>
    <row r="27" spans="1:27" ht="21" customHeight="1">
      <c r="A27" s="115"/>
      <c r="B27" s="784"/>
      <c r="C27" s="766"/>
      <c r="D27" s="872" t="s">
        <v>249</v>
      </c>
      <c r="E27" s="83">
        <f>SUM(Y27:Y28)/1000</f>
        <v>60249.51</v>
      </c>
      <c r="F27" s="83">
        <v>57380.76</v>
      </c>
      <c r="G27" s="819">
        <f>E27-F27</f>
        <v>2868.75</v>
      </c>
      <c r="H27" s="788" t="s">
        <v>594</v>
      </c>
      <c r="I27" s="878" t="s">
        <v>685</v>
      </c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775"/>
      <c r="U27" s="755" t="s">
        <v>4</v>
      </c>
      <c r="V27" s="755"/>
      <c r="W27" s="777"/>
      <c r="X27" s="683">
        <f>41570550-39591000</f>
        <v>1979550</v>
      </c>
      <c r="Y27" s="92">
        <v>41570550</v>
      </c>
      <c r="Z27" s="777"/>
      <c r="AA27" s="92">
        <f>L27*Q27</f>
        <v>0</v>
      </c>
    </row>
    <row r="28" spans="1:27" ht="21" customHeight="1" thickBot="1">
      <c r="A28" s="359"/>
      <c r="B28" s="358"/>
      <c r="C28" s="167"/>
      <c r="D28" s="875"/>
      <c r="E28" s="90"/>
      <c r="F28" s="90"/>
      <c r="G28" s="684"/>
      <c r="H28" s="637" t="s">
        <v>665</v>
      </c>
      <c r="I28" s="879" t="s">
        <v>686</v>
      </c>
      <c r="J28" s="879"/>
      <c r="K28" s="879"/>
      <c r="L28" s="879"/>
      <c r="M28" s="879"/>
      <c r="N28" s="879"/>
      <c r="O28" s="879"/>
      <c r="P28" s="879"/>
      <c r="Q28" s="879"/>
      <c r="R28" s="879"/>
      <c r="S28" s="879"/>
      <c r="T28" s="774"/>
      <c r="U28" s="640" t="s">
        <v>4</v>
      </c>
      <c r="V28" s="640"/>
      <c r="W28" s="780"/>
      <c r="X28" s="821">
        <f>18678960-17789760</f>
        <v>889200</v>
      </c>
      <c r="Y28" s="141">
        <v>18678960</v>
      </c>
      <c r="Z28" s="778"/>
      <c r="AA28" s="141">
        <f>L28*N28*S28</f>
        <v>0</v>
      </c>
    </row>
    <row r="29" spans="1:26" ht="21.75" customHeight="1">
      <c r="A29" s="866" t="str">
        <f>A10</f>
        <v>04.경상보조금수입</v>
      </c>
      <c r="B29" s="867" t="str">
        <f>B11</f>
        <v>41.경상보조금수입</v>
      </c>
      <c r="C29" s="867" t="str">
        <f>C12</f>
        <v>411.경상보조금수입</v>
      </c>
      <c r="D29" s="784" t="s">
        <v>250</v>
      </c>
      <c r="E29" s="85">
        <f>X29/1000</f>
        <v>500</v>
      </c>
      <c r="F29" s="85">
        <v>500</v>
      </c>
      <c r="G29" s="385">
        <f>E29-F29</f>
        <v>0</v>
      </c>
      <c r="H29" s="810" t="s">
        <v>590</v>
      </c>
      <c r="I29" s="80">
        <v>500000</v>
      </c>
      <c r="J29" s="737" t="s">
        <v>3</v>
      </c>
      <c r="K29" s="882">
        <v>1</v>
      </c>
      <c r="L29" s="882"/>
      <c r="M29" s="737" t="s">
        <v>36</v>
      </c>
      <c r="N29" s="776"/>
      <c r="O29" s="776" t="s">
        <v>37</v>
      </c>
      <c r="P29" s="825"/>
      <c r="Q29" s="825"/>
      <c r="R29" s="776"/>
      <c r="S29" s="776"/>
      <c r="T29" s="769"/>
      <c r="U29" s="769"/>
      <c r="V29" s="769"/>
      <c r="W29" s="779"/>
      <c r="X29" s="118">
        <f>I29*K29</f>
        <v>500000</v>
      </c>
      <c r="Y29" s="80"/>
      <c r="Z29">
        <v>500000</v>
      </c>
    </row>
    <row r="30" spans="1:25" ht="21.75" customHeight="1">
      <c r="A30" s="866"/>
      <c r="B30" s="867"/>
      <c r="C30" s="867"/>
      <c r="D30" s="65"/>
      <c r="E30" s="85"/>
      <c r="F30" s="85"/>
      <c r="G30" s="365"/>
      <c r="H30" s="58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665"/>
      <c r="U30" s="665"/>
      <c r="V30" s="665"/>
      <c r="W30" s="665"/>
      <c r="X30" s="704"/>
      <c r="Y30" s="167"/>
    </row>
    <row r="31" spans="1:26" ht="21.75" customHeight="1">
      <c r="A31" s="63"/>
      <c r="B31" s="507"/>
      <c r="C31" s="784"/>
      <c r="D31" s="783" t="s">
        <v>251</v>
      </c>
      <c r="E31" s="83">
        <f>Y31/1000</f>
        <v>35130.69</v>
      </c>
      <c r="F31" s="83">
        <v>29157.096</v>
      </c>
      <c r="G31" s="387">
        <f>E31-F31</f>
        <v>5973.594000000001</v>
      </c>
      <c r="H31" s="655" t="s">
        <v>590</v>
      </c>
      <c r="I31" s="878" t="s">
        <v>687</v>
      </c>
      <c r="J31" s="878"/>
      <c r="K31" s="878"/>
      <c r="L31" s="878"/>
      <c r="M31" s="878"/>
      <c r="N31" s="878"/>
      <c r="O31" s="878"/>
      <c r="P31" s="878"/>
      <c r="Q31" s="878"/>
      <c r="R31" s="878"/>
      <c r="S31" s="737"/>
      <c r="T31" s="795"/>
      <c r="U31" s="769" t="s">
        <v>4</v>
      </c>
      <c r="V31" s="769"/>
      <c r="W31" s="779"/>
      <c r="X31" s="820">
        <f>35130696-29157096</f>
        <v>5973600</v>
      </c>
      <c r="Y31" s="118">
        <v>35130690</v>
      </c>
      <c r="Z31">
        <v>16862234</v>
      </c>
    </row>
    <row r="32" spans="1:25" ht="21.75" customHeight="1">
      <c r="A32" s="63"/>
      <c r="B32" s="507"/>
      <c r="C32" s="784"/>
      <c r="D32" s="784"/>
      <c r="E32" s="90"/>
      <c r="F32" s="85"/>
      <c r="G32" s="365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705"/>
      <c r="Y32" s="167"/>
    </row>
    <row r="33" spans="1:26" ht="21.75" customHeight="1">
      <c r="A33" s="63"/>
      <c r="B33" s="507"/>
      <c r="C33" s="784"/>
      <c r="D33" s="783" t="s">
        <v>252</v>
      </c>
      <c r="E33" s="83">
        <f>SUM(Y33:Y34)/1000</f>
        <v>0</v>
      </c>
      <c r="F33" s="83">
        <v>3346.868</v>
      </c>
      <c r="G33" s="387">
        <f>E33-F33</f>
        <v>-3346.868</v>
      </c>
      <c r="H33" s="649" t="s">
        <v>724</v>
      </c>
      <c r="I33" s="876" t="s">
        <v>689</v>
      </c>
      <c r="J33" s="876"/>
      <c r="K33" s="876"/>
      <c r="L33" s="876"/>
      <c r="M33" s="876"/>
      <c r="N33" s="876"/>
      <c r="O33" s="876"/>
      <c r="P33" s="876"/>
      <c r="Q33" s="876"/>
      <c r="R33" s="775"/>
      <c r="S33" s="775"/>
      <c r="T33" s="775"/>
      <c r="U33" s="755" t="s">
        <v>688</v>
      </c>
      <c r="V33" s="755"/>
      <c r="W33" s="777"/>
      <c r="X33" s="92">
        <v>-2963088</v>
      </c>
      <c r="Y33" s="80">
        <v>0</v>
      </c>
      <c r="Z33">
        <v>1713596</v>
      </c>
    </row>
    <row r="34" spans="1:25" ht="21.75" customHeight="1">
      <c r="A34" s="63"/>
      <c r="B34" s="507"/>
      <c r="C34" s="784"/>
      <c r="D34" s="65"/>
      <c r="E34" s="90"/>
      <c r="F34" s="90"/>
      <c r="G34" s="267"/>
      <c r="H34" s="619" t="s">
        <v>291</v>
      </c>
      <c r="I34" s="880" t="s">
        <v>690</v>
      </c>
      <c r="J34" s="880"/>
      <c r="K34" s="880"/>
      <c r="L34" s="880"/>
      <c r="M34" s="880"/>
      <c r="N34" s="880"/>
      <c r="O34" s="880"/>
      <c r="P34" s="880"/>
      <c r="Q34" s="880"/>
      <c r="R34" s="774"/>
      <c r="S34" s="774"/>
      <c r="T34" s="774"/>
      <c r="U34" s="640" t="s">
        <v>4</v>
      </c>
      <c r="V34" s="640"/>
      <c r="W34" s="780"/>
      <c r="X34" s="119">
        <v>-383780</v>
      </c>
      <c r="Y34" s="80"/>
    </row>
    <row r="35" spans="1:26" ht="21.75" customHeight="1">
      <c r="A35" s="63"/>
      <c r="B35" s="507"/>
      <c r="C35" s="784"/>
      <c r="D35" s="872" t="s">
        <v>253</v>
      </c>
      <c r="E35" s="83">
        <f>SUM(Y35:Y36)/1000</f>
        <v>1044.62</v>
      </c>
      <c r="F35" s="83">
        <v>1010.42</v>
      </c>
      <c r="G35" s="387">
        <f>E35-F35</f>
        <v>34.19999999999993</v>
      </c>
      <c r="H35" s="678" t="s">
        <v>296</v>
      </c>
      <c r="I35" s="881" t="s">
        <v>691</v>
      </c>
      <c r="J35" s="881"/>
      <c r="K35" s="881"/>
      <c r="L35" s="881"/>
      <c r="M35" s="881"/>
      <c r="N35" s="881"/>
      <c r="O35" s="881"/>
      <c r="P35" s="881"/>
      <c r="Q35" s="881"/>
      <c r="R35" s="881"/>
      <c r="S35" s="509"/>
      <c r="T35" s="509"/>
      <c r="U35" s="510" t="s">
        <v>4</v>
      </c>
      <c r="V35" s="510"/>
      <c r="W35" s="130"/>
      <c r="X35" s="820">
        <f>522310-505210</f>
        <v>17100</v>
      </c>
      <c r="Y35" s="126">
        <v>522310</v>
      </c>
      <c r="Z35">
        <v>511800</v>
      </c>
    </row>
    <row r="36" spans="1:25" ht="21.75" customHeight="1">
      <c r="A36" s="63"/>
      <c r="B36" s="507"/>
      <c r="C36" s="784"/>
      <c r="D36" s="875"/>
      <c r="E36" s="90"/>
      <c r="F36" s="90"/>
      <c r="G36" s="366"/>
      <c r="H36" s="619" t="s">
        <v>292</v>
      </c>
      <c r="I36" s="880" t="s">
        <v>691</v>
      </c>
      <c r="J36" s="880"/>
      <c r="K36" s="880"/>
      <c r="L36" s="880"/>
      <c r="M36" s="880"/>
      <c r="N36" s="880"/>
      <c r="O36" s="880"/>
      <c r="P36" s="880"/>
      <c r="Q36" s="880"/>
      <c r="R36" s="880"/>
      <c r="S36" s="774"/>
      <c r="T36" s="774"/>
      <c r="U36" s="640" t="s">
        <v>4</v>
      </c>
      <c r="V36" s="640"/>
      <c r="W36" s="780"/>
      <c r="X36" s="820">
        <v>17100</v>
      </c>
      <c r="Y36" s="119">
        <v>522310</v>
      </c>
    </row>
    <row r="37" spans="1:26" ht="21.75" customHeight="1">
      <c r="A37" s="63"/>
      <c r="B37" s="507"/>
      <c r="C37" s="784"/>
      <c r="D37" s="872" t="s">
        <v>254</v>
      </c>
      <c r="E37" s="83">
        <f>Y37/1000</f>
        <v>506.312</v>
      </c>
      <c r="F37" s="85">
        <v>489.668</v>
      </c>
      <c r="G37" s="387">
        <f>E37-F37</f>
        <v>16.644000000000005</v>
      </c>
      <c r="H37" s="588" t="s">
        <v>293</v>
      </c>
      <c r="I37" s="876" t="s">
        <v>692</v>
      </c>
      <c r="J37" s="876"/>
      <c r="K37" s="876"/>
      <c r="L37" s="876"/>
      <c r="M37" s="876"/>
      <c r="N37" s="876"/>
      <c r="O37" s="876"/>
      <c r="P37" s="876"/>
      <c r="Q37" s="876"/>
      <c r="R37" s="876"/>
      <c r="S37" s="775"/>
      <c r="T37" s="775"/>
      <c r="U37" s="755" t="s">
        <v>4</v>
      </c>
      <c r="V37" s="755"/>
      <c r="W37" s="777"/>
      <c r="X37" s="92">
        <f>506312-489688</f>
        <v>16624</v>
      </c>
      <c r="Y37" s="80">
        <v>506312</v>
      </c>
      <c r="Z37">
        <v>486820</v>
      </c>
    </row>
    <row r="38" spans="1:25" ht="21.75" customHeight="1" thickBot="1">
      <c r="A38" s="100"/>
      <c r="B38" s="194"/>
      <c r="C38" s="137"/>
      <c r="D38" s="873"/>
      <c r="E38" s="138"/>
      <c r="F38" s="138"/>
      <c r="G38" s="822"/>
      <c r="H38" s="113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702"/>
      <c r="Y38" s="167"/>
    </row>
    <row r="39" spans="1:26" ht="21.75" customHeight="1">
      <c r="A39" s="63"/>
      <c r="B39" s="507"/>
      <c r="C39" s="73"/>
      <c r="D39" s="867" t="s">
        <v>255</v>
      </c>
      <c r="E39" s="85">
        <f>X39/1000</f>
        <v>450</v>
      </c>
      <c r="F39" s="85">
        <v>450</v>
      </c>
      <c r="G39" s="385">
        <f>E39-F39</f>
        <v>0</v>
      </c>
      <c r="H39" s="817" t="s">
        <v>530</v>
      </c>
      <c r="I39" s="80">
        <v>15000</v>
      </c>
      <c r="J39" s="795" t="s">
        <v>3</v>
      </c>
      <c r="K39" s="914">
        <v>30</v>
      </c>
      <c r="L39" s="914"/>
      <c r="M39" s="795" t="s">
        <v>5</v>
      </c>
      <c r="N39" s="795" t="s">
        <v>3</v>
      </c>
      <c r="O39" s="795"/>
      <c r="P39" s="641">
        <v>1</v>
      </c>
      <c r="Q39" s="641"/>
      <c r="R39" s="795" t="s">
        <v>39</v>
      </c>
      <c r="S39" s="795"/>
      <c r="T39" s="795"/>
      <c r="U39" s="769" t="s">
        <v>4</v>
      </c>
      <c r="V39" s="769"/>
      <c r="W39" s="779"/>
      <c r="X39" s="118">
        <f>I39*K39*P39</f>
        <v>450000</v>
      </c>
      <c r="Y39" s="80"/>
      <c r="Z39">
        <v>300000</v>
      </c>
    </row>
    <row r="40" spans="1:25" ht="21.75" customHeight="1">
      <c r="A40" s="63"/>
      <c r="B40" s="507"/>
      <c r="C40" s="73"/>
      <c r="D40" s="875"/>
      <c r="E40" s="90"/>
      <c r="F40" s="90"/>
      <c r="G40" s="366"/>
      <c r="H40" s="58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  <c r="T40" s="665"/>
      <c r="U40" s="665"/>
      <c r="V40" s="665"/>
      <c r="W40" s="665"/>
      <c r="X40" s="704"/>
      <c r="Y40" s="167"/>
    </row>
    <row r="41" spans="1:26" ht="21.75" customHeight="1">
      <c r="A41" s="63"/>
      <c r="B41" s="507"/>
      <c r="C41" s="73"/>
      <c r="D41" s="872" t="s">
        <v>256</v>
      </c>
      <c r="E41" s="83">
        <f>P41</f>
        <v>0</v>
      </c>
      <c r="F41" s="85">
        <v>0</v>
      </c>
      <c r="G41" s="387">
        <f>E41-F41</f>
        <v>0</v>
      </c>
      <c r="H41" s="917"/>
      <c r="I41" s="917"/>
      <c r="J41" s="917"/>
      <c r="K41" s="917"/>
      <c r="L41" s="917"/>
      <c r="M41" s="917"/>
      <c r="N41" s="463"/>
      <c r="O41" s="463"/>
      <c r="P41" s="909"/>
      <c r="Q41" s="909"/>
      <c r="R41" s="909"/>
      <c r="S41" s="909"/>
      <c r="T41" s="909"/>
      <c r="U41" s="909"/>
      <c r="V41" s="463"/>
      <c r="W41" s="49"/>
      <c r="X41" s="118"/>
      <c r="Y41" s="80"/>
      <c r="Z41" s="25">
        <v>0</v>
      </c>
    </row>
    <row r="42" spans="1:26" ht="21.75" customHeight="1">
      <c r="A42" s="63"/>
      <c r="B42" s="507"/>
      <c r="C42" s="73"/>
      <c r="D42" s="875"/>
      <c r="E42" s="90"/>
      <c r="F42" s="85"/>
      <c r="G42" s="365"/>
      <c r="H42" s="62"/>
      <c r="I42" s="129"/>
      <c r="J42" s="639"/>
      <c r="K42" s="912"/>
      <c r="L42" s="912"/>
      <c r="M42" s="639"/>
      <c r="N42" s="639"/>
      <c r="O42" s="639"/>
      <c r="P42" s="512"/>
      <c r="Q42" s="512"/>
      <c r="R42" s="639"/>
      <c r="S42" s="639"/>
      <c r="T42" s="639"/>
      <c r="U42" s="640"/>
      <c r="V42" s="640"/>
      <c r="W42" s="62"/>
      <c r="X42" s="119"/>
      <c r="Y42" s="80"/>
      <c r="Z42" s="25"/>
    </row>
    <row r="43" spans="1:26" ht="21.75" customHeight="1">
      <c r="A43" s="63"/>
      <c r="B43" s="507"/>
      <c r="C43" s="73"/>
      <c r="D43" s="872" t="s">
        <v>257</v>
      </c>
      <c r="E43" s="83">
        <f>X43/1000</f>
        <v>1500</v>
      </c>
      <c r="F43" s="83">
        <v>1500</v>
      </c>
      <c r="G43" s="387">
        <f>E43-F43</f>
        <v>0</v>
      </c>
      <c r="H43" s="588" t="s">
        <v>295</v>
      </c>
      <c r="I43" s="95">
        <v>50000</v>
      </c>
      <c r="J43" s="664" t="s">
        <v>3</v>
      </c>
      <c r="K43" s="877">
        <v>30</v>
      </c>
      <c r="L43" s="877"/>
      <c r="M43" s="664" t="s">
        <v>5</v>
      </c>
      <c r="N43" s="664" t="s">
        <v>3</v>
      </c>
      <c r="O43" s="664"/>
      <c r="P43" s="682">
        <v>1</v>
      </c>
      <c r="Q43" s="682"/>
      <c r="R43" s="664" t="s">
        <v>39</v>
      </c>
      <c r="S43" s="664"/>
      <c r="T43" s="664"/>
      <c r="U43" s="363" t="s">
        <v>4</v>
      </c>
      <c r="V43" s="363"/>
      <c r="W43" s="84"/>
      <c r="X43" s="92">
        <f>I43*K43*P43</f>
        <v>1500000</v>
      </c>
      <c r="Y43" s="80"/>
      <c r="Z43" s="25">
        <v>900000</v>
      </c>
    </row>
    <row r="44" spans="1:25" ht="21.75" customHeight="1">
      <c r="A44" s="63"/>
      <c r="B44" s="507"/>
      <c r="C44" s="73"/>
      <c r="D44" s="875"/>
      <c r="E44" s="90"/>
      <c r="F44" s="90"/>
      <c r="G44" s="366"/>
      <c r="H44" s="58"/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665"/>
      <c r="T44" s="665"/>
      <c r="U44" s="665"/>
      <c r="V44" s="665"/>
      <c r="W44" s="665"/>
      <c r="X44" s="704"/>
      <c r="Y44" s="167"/>
    </row>
    <row r="45" spans="1:26" ht="21.75" customHeight="1">
      <c r="A45" s="63"/>
      <c r="B45" s="507"/>
      <c r="C45" s="73"/>
      <c r="D45" s="629" t="s">
        <v>258</v>
      </c>
      <c r="E45" s="83">
        <f>X45/1000</f>
        <v>1500</v>
      </c>
      <c r="F45" s="83">
        <v>1500</v>
      </c>
      <c r="G45" s="387">
        <f>E45-F45</f>
        <v>0</v>
      </c>
      <c r="H45" s="588" t="s">
        <v>294</v>
      </c>
      <c r="I45" s="95">
        <v>50000</v>
      </c>
      <c r="J45" s="664" t="s">
        <v>3</v>
      </c>
      <c r="K45" s="877">
        <v>30</v>
      </c>
      <c r="L45" s="877"/>
      <c r="M45" s="664" t="s">
        <v>5</v>
      </c>
      <c r="N45" s="664" t="s">
        <v>3</v>
      </c>
      <c r="O45" s="664"/>
      <c r="P45" s="682">
        <v>1</v>
      </c>
      <c r="Q45" s="682"/>
      <c r="R45" s="664" t="s">
        <v>39</v>
      </c>
      <c r="S45" s="664"/>
      <c r="T45" s="664"/>
      <c r="U45" s="363" t="s">
        <v>4</v>
      </c>
      <c r="V45" s="363"/>
      <c r="W45" s="84"/>
      <c r="X45" s="92">
        <f>I45*K45*P45</f>
        <v>1500000</v>
      </c>
      <c r="Y45" s="80"/>
      <c r="Z45">
        <v>1500000</v>
      </c>
    </row>
    <row r="46" spans="1:25" ht="21.75" customHeight="1">
      <c r="A46" s="63"/>
      <c r="B46" s="507"/>
      <c r="C46" s="73"/>
      <c r="D46" s="630"/>
      <c r="E46" s="90"/>
      <c r="F46" s="90"/>
      <c r="G46" s="366"/>
      <c r="H46" s="58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704"/>
      <c r="Y46" s="167"/>
    </row>
    <row r="47" spans="1:26" ht="21.75" customHeight="1">
      <c r="A47" s="63"/>
      <c r="B47" s="507"/>
      <c r="C47" s="73"/>
      <c r="D47" s="872" t="s">
        <v>259</v>
      </c>
      <c r="E47" s="83">
        <f>P47/1000</f>
        <v>0</v>
      </c>
      <c r="F47" s="83">
        <v>0</v>
      </c>
      <c r="G47" s="387">
        <f>E47-F47</f>
        <v>0</v>
      </c>
      <c r="H47" s="913" t="s">
        <v>440</v>
      </c>
      <c r="I47" s="889"/>
      <c r="J47" s="889"/>
      <c r="K47" s="889"/>
      <c r="L47" s="889"/>
      <c r="M47" s="889"/>
      <c r="N47" s="463"/>
      <c r="O47" s="463"/>
      <c r="P47" s="909">
        <f>SUM(X48:X48)</f>
        <v>0</v>
      </c>
      <c r="Q47" s="909"/>
      <c r="R47" s="909"/>
      <c r="S47" s="909"/>
      <c r="T47" s="909"/>
      <c r="U47" s="909"/>
      <c r="V47" s="909"/>
      <c r="W47" s="909"/>
      <c r="X47" s="910"/>
      <c r="Y47" s="762"/>
      <c r="Z47" s="367">
        <v>2200000</v>
      </c>
    </row>
    <row r="48" spans="1:26" ht="21.75" customHeight="1">
      <c r="A48" s="63"/>
      <c r="B48" s="507"/>
      <c r="C48" s="73"/>
      <c r="D48" s="875"/>
      <c r="E48" s="90"/>
      <c r="F48" s="90"/>
      <c r="G48" s="366"/>
      <c r="H48" s="166"/>
      <c r="I48" s="129"/>
      <c r="J48" s="639"/>
      <c r="K48" s="912"/>
      <c r="L48" s="912"/>
      <c r="M48" s="918"/>
      <c r="N48" s="918"/>
      <c r="O48" s="639"/>
      <c r="P48" s="512"/>
      <c r="Q48" s="512"/>
      <c r="R48" s="639"/>
      <c r="S48" s="639"/>
      <c r="T48" s="639"/>
      <c r="U48" s="640"/>
      <c r="V48" s="640"/>
      <c r="W48" s="62"/>
      <c r="X48" s="119"/>
      <c r="Y48" s="80"/>
      <c r="Z48" s="25"/>
    </row>
    <row r="49" spans="1:26" ht="21.75" customHeight="1">
      <c r="A49" s="63"/>
      <c r="B49" s="507"/>
      <c r="C49" s="73"/>
      <c r="D49" s="872" t="s">
        <v>260</v>
      </c>
      <c r="E49" s="83">
        <f>X49/1000</f>
        <v>450</v>
      </c>
      <c r="F49" s="85">
        <v>450</v>
      </c>
      <c r="G49" s="387">
        <f>E49-F49</f>
        <v>0</v>
      </c>
      <c r="H49" s="588" t="s">
        <v>297</v>
      </c>
      <c r="I49" s="80">
        <v>15000</v>
      </c>
      <c r="J49" s="638" t="s">
        <v>3</v>
      </c>
      <c r="K49" s="914">
        <v>30</v>
      </c>
      <c r="L49" s="914"/>
      <c r="M49" s="638" t="s">
        <v>5</v>
      </c>
      <c r="N49" s="638" t="s">
        <v>3</v>
      </c>
      <c r="O49" s="638"/>
      <c r="P49" s="641">
        <v>1</v>
      </c>
      <c r="Q49" s="641"/>
      <c r="R49" s="638" t="s">
        <v>39</v>
      </c>
      <c r="S49" s="638"/>
      <c r="T49" s="638"/>
      <c r="U49" s="463" t="s">
        <v>4</v>
      </c>
      <c r="V49" s="463"/>
      <c r="W49" s="49"/>
      <c r="X49" s="118">
        <f>I49*K49*P49</f>
        <v>450000</v>
      </c>
      <c r="Y49" s="80"/>
      <c r="Z49" s="25">
        <v>450000</v>
      </c>
    </row>
    <row r="50" spans="1:25" ht="21.75" customHeight="1">
      <c r="A50" s="115"/>
      <c r="B50" s="73"/>
      <c r="C50" s="73"/>
      <c r="D50" s="874"/>
      <c r="E50" s="90"/>
      <c r="F50" s="90"/>
      <c r="G50" s="366"/>
      <c r="H50" s="49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705"/>
      <c r="Y50" s="167"/>
    </row>
    <row r="51" spans="1:26" ht="21.75" customHeight="1">
      <c r="A51" s="359"/>
      <c r="B51" s="358"/>
      <c r="C51" s="867"/>
      <c r="D51" s="872" t="s">
        <v>261</v>
      </c>
      <c r="E51" s="83">
        <f>X51/1000</f>
        <v>1500</v>
      </c>
      <c r="F51" s="83">
        <v>1500</v>
      </c>
      <c r="G51" s="364">
        <f>E51-F51</f>
        <v>0</v>
      </c>
      <c r="H51" s="588" t="s">
        <v>298</v>
      </c>
      <c r="I51" s="95">
        <v>1500000</v>
      </c>
      <c r="J51" s="664"/>
      <c r="K51" s="877"/>
      <c r="L51" s="877"/>
      <c r="M51" s="664"/>
      <c r="N51" s="664" t="s">
        <v>3</v>
      </c>
      <c r="O51" s="664"/>
      <c r="P51" s="682">
        <v>1</v>
      </c>
      <c r="Q51" s="682"/>
      <c r="R51" s="664" t="s">
        <v>39</v>
      </c>
      <c r="S51" s="664"/>
      <c r="T51" s="664"/>
      <c r="U51" s="363" t="s">
        <v>4</v>
      </c>
      <c r="V51" s="363"/>
      <c r="W51" s="84"/>
      <c r="X51" s="92">
        <f>I51*P51</f>
        <v>1500000</v>
      </c>
      <c r="Y51" s="80"/>
      <c r="Z51">
        <v>2000000</v>
      </c>
    </row>
    <row r="52" spans="1:25" ht="21.75" customHeight="1" thickBot="1">
      <c r="A52" s="360"/>
      <c r="B52" s="361"/>
      <c r="C52" s="873"/>
      <c r="D52" s="873"/>
      <c r="E52" s="138"/>
      <c r="F52" s="138"/>
      <c r="G52" s="269"/>
      <c r="H52" s="58"/>
      <c r="I52" s="665"/>
      <c r="J52" s="665"/>
      <c r="K52" s="665"/>
      <c r="L52" s="665"/>
      <c r="M52" s="665"/>
      <c r="N52" s="665"/>
      <c r="O52" s="665"/>
      <c r="P52" s="665"/>
      <c r="Q52" s="665"/>
      <c r="R52" s="665"/>
      <c r="S52" s="665"/>
      <c r="T52" s="665"/>
      <c r="U52" s="665"/>
      <c r="V52" s="665"/>
      <c r="W52" s="665"/>
      <c r="X52" s="704"/>
      <c r="Y52" s="167"/>
    </row>
    <row r="53" spans="1:26" ht="21" customHeight="1">
      <c r="A53" s="868" t="s">
        <v>267</v>
      </c>
      <c r="B53" s="869" t="s">
        <v>268</v>
      </c>
      <c r="C53" s="869" t="s">
        <v>40</v>
      </c>
      <c r="D53" s="197"/>
      <c r="E53" s="247">
        <f>E54</f>
        <v>0</v>
      </c>
      <c r="F53" s="247">
        <v>0</v>
      </c>
      <c r="G53" s="386">
        <f>E53-F53</f>
        <v>0</v>
      </c>
      <c r="H53" s="99"/>
      <c r="I53" s="79"/>
      <c r="J53" s="463"/>
      <c r="K53" s="686"/>
      <c r="L53" s="686"/>
      <c r="M53" s="463"/>
      <c r="N53" s="463"/>
      <c r="O53" s="463"/>
      <c r="P53" s="656"/>
      <c r="Q53" s="656"/>
      <c r="R53" s="463"/>
      <c r="S53" s="463"/>
      <c r="T53" s="463"/>
      <c r="U53" s="81"/>
      <c r="V53" s="463"/>
      <c r="W53" s="49"/>
      <c r="X53" s="118"/>
      <c r="Y53" s="80"/>
      <c r="Z53">
        <v>0</v>
      </c>
    </row>
    <row r="54" spans="1:25" ht="21" customHeight="1">
      <c r="A54" s="866"/>
      <c r="B54" s="867"/>
      <c r="C54" s="867"/>
      <c r="D54" s="872" t="s">
        <v>41</v>
      </c>
      <c r="E54" s="83">
        <v>0</v>
      </c>
      <c r="F54" s="83">
        <v>0</v>
      </c>
      <c r="G54" s="387">
        <f>E54-F54</f>
        <v>0</v>
      </c>
      <c r="H54" s="915" t="s">
        <v>43</v>
      </c>
      <c r="I54" s="916"/>
      <c r="J54" s="363"/>
      <c r="K54" s="131"/>
      <c r="L54" s="131"/>
      <c r="M54" s="363"/>
      <c r="N54" s="363"/>
      <c r="O54" s="363"/>
      <c r="P54" s="93"/>
      <c r="Q54" s="93"/>
      <c r="R54" s="363"/>
      <c r="S54" s="363"/>
      <c r="T54" s="363"/>
      <c r="U54" s="132"/>
      <c r="V54" s="363"/>
      <c r="W54" s="84"/>
      <c r="X54" s="92"/>
      <c r="Y54" s="80"/>
    </row>
    <row r="55" spans="1:25" ht="21" customHeight="1">
      <c r="A55" s="63"/>
      <c r="B55" s="507"/>
      <c r="C55" s="65"/>
      <c r="D55" s="875"/>
      <c r="E55" s="90"/>
      <c r="F55" s="90"/>
      <c r="G55" s="265"/>
      <c r="H55" s="58"/>
      <c r="I55" s="59"/>
      <c r="J55" s="640"/>
      <c r="K55" s="78"/>
      <c r="L55" s="78"/>
      <c r="M55" s="640"/>
      <c r="N55" s="640"/>
      <c r="O55" s="640"/>
      <c r="P55" s="61"/>
      <c r="Q55" s="61"/>
      <c r="R55" s="640"/>
      <c r="S55" s="640"/>
      <c r="T55" s="640"/>
      <c r="U55" s="133"/>
      <c r="V55" s="640"/>
      <c r="W55" s="62"/>
      <c r="X55" s="119"/>
      <c r="Y55" s="80"/>
    </row>
    <row r="56" spans="1:26" ht="21" customHeight="1">
      <c r="A56" s="63"/>
      <c r="B56" s="507"/>
      <c r="C56" s="872" t="s">
        <v>144</v>
      </c>
      <c r="D56" s="82"/>
      <c r="E56" s="85">
        <f>SUM(X56:X59)</f>
        <v>0</v>
      </c>
      <c r="F56" s="85">
        <v>0</v>
      </c>
      <c r="G56" s="387">
        <f>E56-F56</f>
        <v>0</v>
      </c>
      <c r="H56" s="99"/>
      <c r="I56" s="79"/>
      <c r="J56" s="463"/>
      <c r="K56" s="96"/>
      <c r="L56" s="96"/>
      <c r="M56" s="463"/>
      <c r="N56" s="463"/>
      <c r="O56" s="463"/>
      <c r="P56" s="656"/>
      <c r="Q56" s="656"/>
      <c r="R56" s="463"/>
      <c r="S56" s="463"/>
      <c r="T56" s="463"/>
      <c r="U56" s="463"/>
      <c r="V56" s="463"/>
      <c r="W56" s="49"/>
      <c r="X56" s="118"/>
      <c r="Y56" s="80"/>
      <c r="Z56">
        <v>0</v>
      </c>
    </row>
    <row r="57" spans="1:26" ht="21" customHeight="1">
      <c r="A57" s="63"/>
      <c r="B57" s="507"/>
      <c r="C57" s="867"/>
      <c r="D57" s="872" t="s">
        <v>42</v>
      </c>
      <c r="E57" s="83">
        <f>E56</f>
        <v>0</v>
      </c>
      <c r="F57" s="83">
        <v>0</v>
      </c>
      <c r="G57" s="387">
        <f>E57-F57</f>
        <v>0</v>
      </c>
      <c r="H57" s="915" t="s">
        <v>43</v>
      </c>
      <c r="I57" s="916"/>
      <c r="J57" s="363"/>
      <c r="K57" s="128"/>
      <c r="L57" s="128"/>
      <c r="M57" s="363"/>
      <c r="N57" s="363"/>
      <c r="O57" s="363"/>
      <c r="P57" s="93"/>
      <c r="Q57" s="93"/>
      <c r="R57" s="363"/>
      <c r="S57" s="363"/>
      <c r="T57" s="363"/>
      <c r="U57" s="363"/>
      <c r="V57" s="363"/>
      <c r="W57" s="84"/>
      <c r="X57" s="92"/>
      <c r="Y57" s="80"/>
      <c r="Z57">
        <v>0</v>
      </c>
    </row>
    <row r="58" spans="1:25" ht="21" customHeight="1" thickBot="1">
      <c r="A58" s="100"/>
      <c r="B58" s="194"/>
      <c r="C58" s="137"/>
      <c r="D58" s="873"/>
      <c r="E58" s="138"/>
      <c r="F58" s="138"/>
      <c r="G58" s="269"/>
      <c r="H58" s="194"/>
      <c r="I58" s="233"/>
      <c r="J58" s="627"/>
      <c r="K58" s="140"/>
      <c r="L58" s="140"/>
      <c r="M58" s="627"/>
      <c r="N58" s="627"/>
      <c r="O58" s="627"/>
      <c r="P58" s="632"/>
      <c r="Q58" s="632"/>
      <c r="R58" s="627"/>
      <c r="S58" s="627"/>
      <c r="T58" s="627"/>
      <c r="U58" s="627"/>
      <c r="V58" s="627"/>
      <c r="W58" s="114"/>
      <c r="X58" s="141"/>
      <c r="Y58" s="80"/>
    </row>
    <row r="59" spans="1:26" ht="21.75" customHeight="1">
      <c r="A59" s="870" t="s">
        <v>46</v>
      </c>
      <c r="B59" s="182"/>
      <c r="C59" s="102"/>
      <c r="D59" s="102"/>
      <c r="E59" s="235">
        <f>E60</f>
        <v>14000</v>
      </c>
      <c r="F59" s="235">
        <v>14000</v>
      </c>
      <c r="G59" s="475">
        <f>E59-F59</f>
        <v>0</v>
      </c>
      <c r="H59" s="105"/>
      <c r="I59" s="106"/>
      <c r="J59" s="107"/>
      <c r="K59" s="108"/>
      <c r="L59" s="108"/>
      <c r="M59" s="107"/>
      <c r="N59" s="107"/>
      <c r="O59" s="107"/>
      <c r="P59" s="109"/>
      <c r="Q59" s="109"/>
      <c r="R59" s="107"/>
      <c r="S59" s="107"/>
      <c r="T59" s="107"/>
      <c r="U59" s="107"/>
      <c r="V59" s="110"/>
      <c r="W59" s="107"/>
      <c r="X59" s="120"/>
      <c r="Y59" s="80"/>
      <c r="Z59">
        <v>7000000</v>
      </c>
    </row>
    <row r="60" spans="1:26" ht="21.75" customHeight="1">
      <c r="A60" s="871"/>
      <c r="B60" s="872" t="s">
        <v>47</v>
      </c>
      <c r="C60" s="64"/>
      <c r="D60" s="64"/>
      <c r="E60" s="136">
        <f>SUM(E61,E64)</f>
        <v>14000</v>
      </c>
      <c r="F60" s="136">
        <v>14000</v>
      </c>
      <c r="G60" s="387">
        <f>E60-F60</f>
        <v>0</v>
      </c>
      <c r="H60" s="68"/>
      <c r="I60" s="69"/>
      <c r="J60" s="631"/>
      <c r="K60" s="70"/>
      <c r="L60" s="70"/>
      <c r="M60" s="631"/>
      <c r="N60" s="631"/>
      <c r="O60" s="631"/>
      <c r="P60" s="111"/>
      <c r="Q60" s="111"/>
      <c r="R60" s="631"/>
      <c r="S60" s="631"/>
      <c r="T60" s="631"/>
      <c r="U60" s="631"/>
      <c r="V60" s="72"/>
      <c r="W60" s="631"/>
      <c r="X60" s="121"/>
      <c r="Y60" s="80"/>
      <c r="Z60">
        <v>7000000</v>
      </c>
    </row>
    <row r="61" spans="1:26" ht="21.75" customHeight="1">
      <c r="A61" s="659"/>
      <c r="B61" s="867"/>
      <c r="C61" s="872" t="s">
        <v>48</v>
      </c>
      <c r="D61" s="177"/>
      <c r="E61" s="85">
        <f>SUM(E62)</f>
        <v>6000</v>
      </c>
      <c r="F61" s="85">
        <v>6000</v>
      </c>
      <c r="G61" s="387">
        <f>E61-F61</f>
        <v>0</v>
      </c>
      <c r="H61" s="99"/>
      <c r="I61" s="79"/>
      <c r="J61" s="463"/>
      <c r="K61" s="96"/>
      <c r="L61" s="96"/>
      <c r="M61" s="463"/>
      <c r="N61" s="463"/>
      <c r="O61" s="463"/>
      <c r="P61" s="112"/>
      <c r="Q61" s="112"/>
      <c r="R61" s="463"/>
      <c r="S61" s="463"/>
      <c r="T61" s="463"/>
      <c r="U61" s="463"/>
      <c r="V61" s="49"/>
      <c r="W61" s="463"/>
      <c r="X61" s="118"/>
      <c r="Y61" s="80"/>
      <c r="Z61">
        <v>3000000</v>
      </c>
    </row>
    <row r="62" spans="1:26" ht="21.75" customHeight="1">
      <c r="A62" s="63"/>
      <c r="B62" s="507"/>
      <c r="C62" s="867"/>
      <c r="D62" s="872" t="s">
        <v>49</v>
      </c>
      <c r="E62" s="83">
        <f>SUM(X62)/1000</f>
        <v>6000</v>
      </c>
      <c r="F62" s="83">
        <v>6000</v>
      </c>
      <c r="G62" s="364">
        <f>E62-F62</f>
        <v>0</v>
      </c>
      <c r="H62" s="588" t="s">
        <v>312</v>
      </c>
      <c r="I62" s="98">
        <v>1500000</v>
      </c>
      <c r="J62" s="363"/>
      <c r="K62" s="128"/>
      <c r="L62" s="664" t="s">
        <v>313</v>
      </c>
      <c r="M62" s="363"/>
      <c r="N62" s="887">
        <v>4</v>
      </c>
      <c r="O62" s="887"/>
      <c r="P62" s="888" t="s">
        <v>290</v>
      </c>
      <c r="Q62" s="888"/>
      <c r="R62" s="363"/>
      <c r="S62" s="363" t="s">
        <v>314</v>
      </c>
      <c r="T62" s="363"/>
      <c r="U62" s="363"/>
      <c r="V62" s="84"/>
      <c r="W62" s="84"/>
      <c r="X62" s="92">
        <f>SUM(I62*N62)</f>
        <v>6000000</v>
      </c>
      <c r="Y62" s="80"/>
      <c r="Z62">
        <v>3000000</v>
      </c>
    </row>
    <row r="63" spans="1:25" ht="21.75" customHeight="1" thickBot="1">
      <c r="A63" s="100"/>
      <c r="B63" s="194"/>
      <c r="C63" s="663"/>
      <c r="D63" s="873"/>
      <c r="E63" s="138"/>
      <c r="F63" s="138"/>
      <c r="G63" s="269"/>
      <c r="H63" s="254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702"/>
      <c r="Y63" s="167"/>
    </row>
    <row r="64" spans="1:26" ht="20.25" customHeight="1">
      <c r="A64" s="868" t="str">
        <f>A59</f>
        <v>05.후원금수입</v>
      </c>
      <c r="B64" s="869" t="str">
        <f>B60</f>
        <v>51.후원금수입</v>
      </c>
      <c r="C64" s="869" t="s">
        <v>50</v>
      </c>
      <c r="D64" s="706"/>
      <c r="E64" s="195">
        <f>SUM(E65)</f>
        <v>8000</v>
      </c>
      <c r="F64" s="195">
        <v>8000</v>
      </c>
      <c r="G64" s="386">
        <f>E64-F64</f>
        <v>0</v>
      </c>
      <c r="H64" s="542"/>
      <c r="I64" s="155"/>
      <c r="J64" s="156"/>
      <c r="K64" s="278"/>
      <c r="L64" s="278"/>
      <c r="M64" s="156"/>
      <c r="N64" s="156"/>
      <c r="O64" s="156"/>
      <c r="P64" s="707"/>
      <c r="Q64" s="707"/>
      <c r="R64" s="156"/>
      <c r="S64" s="156"/>
      <c r="T64" s="156"/>
      <c r="U64" s="156"/>
      <c r="V64" s="157"/>
      <c r="W64" s="156"/>
      <c r="X64" s="199"/>
      <c r="Y64" s="80"/>
      <c r="Z64">
        <v>4000000</v>
      </c>
    </row>
    <row r="65" spans="1:26" ht="20.25" customHeight="1">
      <c r="A65" s="866"/>
      <c r="B65" s="867"/>
      <c r="C65" s="867"/>
      <c r="D65" s="872" t="s">
        <v>51</v>
      </c>
      <c r="E65" s="83">
        <f>SUM(X65)/1000</f>
        <v>8000</v>
      </c>
      <c r="F65" s="83">
        <v>8000</v>
      </c>
      <c r="G65" s="364">
        <f>E65-F65</f>
        <v>0</v>
      </c>
      <c r="H65" s="588" t="s">
        <v>315</v>
      </c>
      <c r="I65" s="98">
        <v>2000000</v>
      </c>
      <c r="J65" s="363"/>
      <c r="K65" s="128"/>
      <c r="L65" s="664" t="s">
        <v>313</v>
      </c>
      <c r="M65" s="363"/>
      <c r="N65" s="887">
        <v>4</v>
      </c>
      <c r="O65" s="887"/>
      <c r="P65" s="888" t="s">
        <v>290</v>
      </c>
      <c r="Q65" s="888"/>
      <c r="R65" s="363"/>
      <c r="S65" s="363" t="s">
        <v>314</v>
      </c>
      <c r="T65" s="363"/>
      <c r="U65" s="363"/>
      <c r="V65" s="84"/>
      <c r="W65" s="84"/>
      <c r="X65" s="92">
        <f>SUM(I65*N65)</f>
        <v>8000000</v>
      </c>
      <c r="Y65" s="80"/>
      <c r="Z65">
        <v>4000000</v>
      </c>
    </row>
    <row r="66" spans="1:25" ht="20.25" customHeight="1" thickBot="1">
      <c r="A66" s="100"/>
      <c r="B66" s="194"/>
      <c r="C66" s="663"/>
      <c r="D66" s="873"/>
      <c r="E66" s="138"/>
      <c r="F66" s="138"/>
      <c r="G66" s="269"/>
      <c r="H66" s="254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702"/>
      <c r="Y66" s="167"/>
    </row>
    <row r="67" spans="1:26" ht="20.25" customHeight="1">
      <c r="A67" s="101" t="s">
        <v>62</v>
      </c>
      <c r="B67" s="103"/>
      <c r="C67" s="182"/>
      <c r="D67" s="182"/>
      <c r="E67" s="235">
        <f>SUM(E68)</f>
        <v>0</v>
      </c>
      <c r="F67" s="235">
        <v>0</v>
      </c>
      <c r="G67" s="387">
        <f>E67-F67</f>
        <v>0</v>
      </c>
      <c r="H67" s="58"/>
      <c r="I67" s="59"/>
      <c r="J67" s="640"/>
      <c r="K67" s="60"/>
      <c r="L67" s="60"/>
      <c r="M67" s="640"/>
      <c r="N67" s="640"/>
      <c r="O67" s="640"/>
      <c r="P67" s="633"/>
      <c r="Q67" s="633"/>
      <c r="R67" s="640"/>
      <c r="S67" s="640"/>
      <c r="T67" s="640"/>
      <c r="U67" s="640"/>
      <c r="V67" s="62"/>
      <c r="W67" s="640"/>
      <c r="X67" s="119"/>
      <c r="Y67" s="80"/>
      <c r="Z67">
        <v>0</v>
      </c>
    </row>
    <row r="68" spans="1:26" ht="20.25" customHeight="1">
      <c r="A68" s="63"/>
      <c r="B68" s="82" t="s">
        <v>63</v>
      </c>
      <c r="C68" s="180"/>
      <c r="D68" s="177"/>
      <c r="E68" s="136">
        <f>SUM(E69,E72)</f>
        <v>0</v>
      </c>
      <c r="F68" s="136">
        <v>0</v>
      </c>
      <c r="G68" s="387">
        <f>E68-F68</f>
        <v>0</v>
      </c>
      <c r="H68" s="68"/>
      <c r="I68" s="69"/>
      <c r="J68" s="631"/>
      <c r="K68" s="70"/>
      <c r="L68" s="70"/>
      <c r="M68" s="631"/>
      <c r="N68" s="631"/>
      <c r="O68" s="631"/>
      <c r="P68" s="111"/>
      <c r="Q68" s="111"/>
      <c r="R68" s="631"/>
      <c r="S68" s="631"/>
      <c r="T68" s="631"/>
      <c r="U68" s="631"/>
      <c r="V68" s="72"/>
      <c r="W68" s="631"/>
      <c r="X68" s="121"/>
      <c r="Y68" s="80"/>
      <c r="Z68">
        <v>0</v>
      </c>
    </row>
    <row r="69" spans="1:26" ht="20.25" customHeight="1">
      <c r="A69" s="115"/>
      <c r="B69" s="73"/>
      <c r="C69" s="872" t="s">
        <v>66</v>
      </c>
      <c r="D69" s="646"/>
      <c r="E69" s="85">
        <f>SUM(E70)</f>
        <v>0</v>
      </c>
      <c r="F69" s="85">
        <v>0</v>
      </c>
      <c r="G69" s="387">
        <f>E69-F69</f>
        <v>0</v>
      </c>
      <c r="H69" s="99"/>
      <c r="I69" s="79"/>
      <c r="J69" s="463"/>
      <c r="K69" s="96"/>
      <c r="L69" s="96"/>
      <c r="M69" s="463"/>
      <c r="N69" s="463"/>
      <c r="O69" s="463"/>
      <c r="P69" s="112"/>
      <c r="Q69" s="112"/>
      <c r="R69" s="463"/>
      <c r="S69" s="463"/>
      <c r="T69" s="463"/>
      <c r="U69" s="463"/>
      <c r="V69" s="49"/>
      <c r="W69" s="463"/>
      <c r="X69" s="118"/>
      <c r="Y69" s="80"/>
      <c r="Z69">
        <v>0</v>
      </c>
    </row>
    <row r="70" spans="1:25" ht="20.25" customHeight="1">
      <c r="A70" s="63"/>
      <c r="B70" s="73"/>
      <c r="C70" s="867"/>
      <c r="D70" s="872" t="s">
        <v>64</v>
      </c>
      <c r="E70" s="83"/>
      <c r="F70" s="83"/>
      <c r="G70" s="268"/>
      <c r="H70" s="94" t="s">
        <v>316</v>
      </c>
      <c r="I70" s="98"/>
      <c r="J70" s="363"/>
      <c r="K70" s="128"/>
      <c r="L70" s="128"/>
      <c r="M70" s="363"/>
      <c r="N70" s="363"/>
      <c r="O70" s="363"/>
      <c r="P70" s="134"/>
      <c r="Q70" s="134"/>
      <c r="R70" s="363"/>
      <c r="S70" s="363"/>
      <c r="T70" s="363"/>
      <c r="U70" s="363"/>
      <c r="V70" s="84"/>
      <c r="W70" s="363"/>
      <c r="X70" s="92"/>
      <c r="Y70" s="80"/>
    </row>
    <row r="71" spans="1:25" ht="20.25" customHeight="1">
      <c r="A71" s="63"/>
      <c r="B71" s="73"/>
      <c r="C71" s="662"/>
      <c r="D71" s="875"/>
      <c r="E71" s="85"/>
      <c r="F71" s="85"/>
      <c r="G71" s="267"/>
      <c r="H71" s="99"/>
      <c r="I71" s="79"/>
      <c r="J71" s="463"/>
      <c r="K71" s="96"/>
      <c r="L71" s="96"/>
      <c r="M71" s="463"/>
      <c r="N71" s="463"/>
      <c r="O71" s="463"/>
      <c r="P71" s="112"/>
      <c r="Q71" s="112"/>
      <c r="R71" s="463"/>
      <c r="S71" s="463"/>
      <c r="T71" s="463"/>
      <c r="U71" s="463"/>
      <c r="V71" s="49"/>
      <c r="W71" s="463"/>
      <c r="X71" s="118"/>
      <c r="Y71" s="80"/>
    </row>
    <row r="72" spans="1:26" ht="20.25" customHeight="1">
      <c r="A72" s="63"/>
      <c r="B72" s="73"/>
      <c r="C72" s="872" t="s">
        <v>67</v>
      </c>
      <c r="D72" s="645"/>
      <c r="E72" s="136">
        <f>SUM(E73)</f>
        <v>0</v>
      </c>
      <c r="F72" s="83">
        <v>0</v>
      </c>
      <c r="G72" s="387">
        <f>E72-F72</f>
        <v>0</v>
      </c>
      <c r="H72" s="94"/>
      <c r="I72" s="98"/>
      <c r="J72" s="363"/>
      <c r="K72" s="128"/>
      <c r="L72" s="128"/>
      <c r="M72" s="363"/>
      <c r="N72" s="363"/>
      <c r="O72" s="363"/>
      <c r="P72" s="134"/>
      <c r="Q72" s="134"/>
      <c r="R72" s="363"/>
      <c r="S72" s="363"/>
      <c r="T72" s="363"/>
      <c r="U72" s="363"/>
      <c r="V72" s="84"/>
      <c r="W72" s="363"/>
      <c r="X72" s="92"/>
      <c r="Y72" s="80"/>
      <c r="Z72">
        <v>0</v>
      </c>
    </row>
    <row r="73" spans="1:25" ht="20.25" customHeight="1">
      <c r="A73" s="63"/>
      <c r="B73" s="73"/>
      <c r="C73" s="867"/>
      <c r="D73" s="872" t="s">
        <v>65</v>
      </c>
      <c r="E73" s="83"/>
      <c r="F73" s="83"/>
      <c r="G73" s="268"/>
      <c r="H73" s="94" t="s">
        <v>317</v>
      </c>
      <c r="I73" s="98"/>
      <c r="J73" s="363"/>
      <c r="K73" s="128"/>
      <c r="L73" s="128"/>
      <c r="M73" s="363"/>
      <c r="N73" s="363"/>
      <c r="O73" s="363"/>
      <c r="P73" s="134"/>
      <c r="Q73" s="134"/>
      <c r="R73" s="363"/>
      <c r="S73" s="363"/>
      <c r="T73" s="363"/>
      <c r="U73" s="363"/>
      <c r="V73" s="84"/>
      <c r="W73" s="363"/>
      <c r="X73" s="92"/>
      <c r="Y73" s="80"/>
    </row>
    <row r="74" spans="1:25" ht="20.25" customHeight="1" thickBot="1">
      <c r="A74" s="100"/>
      <c r="B74" s="137"/>
      <c r="C74" s="663"/>
      <c r="D74" s="873"/>
      <c r="E74" s="138"/>
      <c r="F74" s="138"/>
      <c r="G74" s="269"/>
      <c r="H74" s="113"/>
      <c r="I74" s="139"/>
      <c r="J74" s="627"/>
      <c r="K74" s="140"/>
      <c r="L74" s="140"/>
      <c r="M74" s="627"/>
      <c r="N74" s="627"/>
      <c r="O74" s="627"/>
      <c r="P74" s="628"/>
      <c r="Q74" s="628"/>
      <c r="R74" s="627"/>
      <c r="S74" s="627"/>
      <c r="T74" s="627"/>
      <c r="U74" s="627"/>
      <c r="V74" s="114"/>
      <c r="W74" s="627"/>
      <c r="X74" s="141"/>
      <c r="Y74" s="80"/>
    </row>
    <row r="75" spans="1:26" ht="20.25" customHeight="1">
      <c r="A75" s="101" t="s">
        <v>52</v>
      </c>
      <c r="B75" s="103"/>
      <c r="C75" s="182"/>
      <c r="D75" s="182"/>
      <c r="E75" s="238">
        <f>SUM(E76)</f>
        <v>5000</v>
      </c>
      <c r="F75" s="238">
        <v>5000</v>
      </c>
      <c r="G75" s="475">
        <f>E75-F75</f>
        <v>0</v>
      </c>
      <c r="H75" s="105"/>
      <c r="I75" s="106"/>
      <c r="J75" s="107"/>
      <c r="K75" s="108"/>
      <c r="L75" s="108"/>
      <c r="M75" s="107"/>
      <c r="N75" s="107"/>
      <c r="O75" s="107"/>
      <c r="P75" s="109"/>
      <c r="Q75" s="109"/>
      <c r="R75" s="107"/>
      <c r="S75" s="107"/>
      <c r="T75" s="107"/>
      <c r="U75" s="107"/>
      <c r="V75" s="110"/>
      <c r="W75" s="107"/>
      <c r="X75" s="120"/>
      <c r="Y75" s="80"/>
      <c r="Z75">
        <v>5000000</v>
      </c>
    </row>
    <row r="76" spans="1:26" ht="20.25" customHeight="1">
      <c r="A76" s="63"/>
      <c r="B76" s="64" t="s">
        <v>53</v>
      </c>
      <c r="C76" s="180"/>
      <c r="D76" s="177"/>
      <c r="E76" s="136">
        <f>SUM(E77)</f>
        <v>5000</v>
      </c>
      <c r="F76" s="136">
        <v>5000</v>
      </c>
      <c r="G76" s="387">
        <f>E76-F76</f>
        <v>0</v>
      </c>
      <c r="H76" s="68"/>
      <c r="I76" s="69"/>
      <c r="J76" s="631"/>
      <c r="K76" s="70"/>
      <c r="L76" s="70"/>
      <c r="M76" s="631"/>
      <c r="N76" s="631"/>
      <c r="O76" s="631"/>
      <c r="P76" s="111"/>
      <c r="Q76" s="111"/>
      <c r="R76" s="631"/>
      <c r="S76" s="631"/>
      <c r="T76" s="631"/>
      <c r="U76" s="631"/>
      <c r="V76" s="72"/>
      <c r="W76" s="631"/>
      <c r="X76" s="121"/>
      <c r="Y76" s="80"/>
      <c r="Z76">
        <v>5000000</v>
      </c>
    </row>
    <row r="77" spans="1:26" ht="20.25" customHeight="1">
      <c r="A77" s="63"/>
      <c r="B77" s="73"/>
      <c r="C77" s="872" t="s">
        <v>54</v>
      </c>
      <c r="D77" s="646"/>
      <c r="E77" s="85">
        <f>SUM(E78)</f>
        <v>5000</v>
      </c>
      <c r="F77" s="85">
        <v>5000</v>
      </c>
      <c r="G77" s="387">
        <f>E77-F77</f>
        <v>0</v>
      </c>
      <c r="H77" s="99"/>
      <c r="I77" s="79"/>
      <c r="J77" s="463"/>
      <c r="K77" s="96"/>
      <c r="L77" s="96"/>
      <c r="M77" s="463"/>
      <c r="N77" s="463"/>
      <c r="O77" s="463"/>
      <c r="P77" s="112"/>
      <c r="Q77" s="112"/>
      <c r="R77" s="463"/>
      <c r="S77" s="463"/>
      <c r="T77" s="463"/>
      <c r="U77" s="463"/>
      <c r="V77" s="49"/>
      <c r="W77" s="463"/>
      <c r="X77" s="118"/>
      <c r="Y77" s="80"/>
      <c r="Z77">
        <v>5000000</v>
      </c>
    </row>
    <row r="78" spans="1:26" ht="20.25" customHeight="1">
      <c r="A78" s="63"/>
      <c r="B78" s="73"/>
      <c r="C78" s="867"/>
      <c r="D78" s="872" t="s">
        <v>55</v>
      </c>
      <c r="E78" s="83">
        <f>X78/1000</f>
        <v>5000</v>
      </c>
      <c r="F78" s="83">
        <v>5000</v>
      </c>
      <c r="G78" s="364">
        <f>E78-F78</f>
        <v>0</v>
      </c>
      <c r="H78" s="680" t="s">
        <v>666</v>
      </c>
      <c r="I78" s="98"/>
      <c r="J78" s="363"/>
      <c r="K78" s="128"/>
      <c r="L78" s="664"/>
      <c r="M78" s="363"/>
      <c r="N78" s="887"/>
      <c r="O78" s="887"/>
      <c r="P78" s="888"/>
      <c r="Q78" s="888"/>
      <c r="R78" s="363"/>
      <c r="S78" s="363"/>
      <c r="T78" s="363"/>
      <c r="U78" s="363"/>
      <c r="V78" s="84"/>
      <c r="W78" s="84"/>
      <c r="X78" s="92">
        <v>5000000</v>
      </c>
      <c r="Y78" s="80"/>
      <c r="Z78">
        <v>5000000</v>
      </c>
    </row>
    <row r="79" spans="1:25" ht="20.25" customHeight="1" thickBot="1">
      <c r="A79" s="100"/>
      <c r="B79" s="137"/>
      <c r="C79" s="663"/>
      <c r="D79" s="873"/>
      <c r="E79" s="138"/>
      <c r="F79" s="138"/>
      <c r="G79" s="269"/>
      <c r="H79" s="689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702"/>
      <c r="Y79" s="167"/>
    </row>
    <row r="80" spans="1:26" ht="20.25" customHeight="1">
      <c r="A80" s="101" t="s">
        <v>56</v>
      </c>
      <c r="B80" s="147"/>
      <c r="C80" s="102"/>
      <c r="D80" s="102"/>
      <c r="E80" s="235">
        <f>SUM(E81)</f>
        <v>43391.807</v>
      </c>
      <c r="F80" s="235">
        <v>12000</v>
      </c>
      <c r="G80" s="484">
        <f>E80-F80</f>
        <v>31391.807</v>
      </c>
      <c r="H80" s="105"/>
      <c r="I80" s="106"/>
      <c r="J80" s="107"/>
      <c r="K80" s="108"/>
      <c r="L80" s="108"/>
      <c r="M80" s="107"/>
      <c r="N80" s="107"/>
      <c r="O80" s="107"/>
      <c r="P80" s="109"/>
      <c r="Q80" s="109"/>
      <c r="R80" s="107"/>
      <c r="S80" s="107"/>
      <c r="T80" s="107"/>
      <c r="U80" s="107"/>
      <c r="V80" s="110"/>
      <c r="W80" s="107"/>
      <c r="X80" s="120"/>
      <c r="Y80" s="80"/>
      <c r="Z80">
        <v>0</v>
      </c>
    </row>
    <row r="81" spans="1:26" ht="20.25" customHeight="1">
      <c r="A81" s="63"/>
      <c r="B81" s="783" t="s">
        <v>57</v>
      </c>
      <c r="C81" s="97"/>
      <c r="D81" s="783"/>
      <c r="E81" s="83">
        <f>SUM(E82+E89)</f>
        <v>43391.807</v>
      </c>
      <c r="F81" s="83">
        <v>12000</v>
      </c>
      <c r="G81" s="387">
        <f>E81-F81</f>
        <v>31391.807</v>
      </c>
      <c r="H81" s="94"/>
      <c r="I81" s="98"/>
      <c r="J81" s="755"/>
      <c r="K81" s="128"/>
      <c r="L81" s="128"/>
      <c r="M81" s="755"/>
      <c r="N81" s="755"/>
      <c r="O81" s="755"/>
      <c r="P81" s="756"/>
      <c r="Q81" s="756"/>
      <c r="R81" s="755"/>
      <c r="S81" s="755"/>
      <c r="T81" s="755"/>
      <c r="U81" s="755"/>
      <c r="V81" s="777"/>
      <c r="W81" s="755"/>
      <c r="X81" s="92"/>
      <c r="Y81" s="80"/>
      <c r="Z81">
        <v>0</v>
      </c>
    </row>
    <row r="82" spans="1:26" ht="20.25" customHeight="1">
      <c r="A82" s="142"/>
      <c r="B82" s="116"/>
      <c r="C82" s="872" t="s">
        <v>58</v>
      </c>
      <c r="D82" s="177"/>
      <c r="E82" s="136">
        <f>SUM(E83,E85,E87)</f>
        <v>43391.807</v>
      </c>
      <c r="F82" s="136">
        <v>12000</v>
      </c>
      <c r="G82" s="387">
        <f>E82-F82</f>
        <v>31391.807</v>
      </c>
      <c r="H82" s="144"/>
      <c r="I82" s="69"/>
      <c r="J82" s="758"/>
      <c r="K82" s="70"/>
      <c r="L82" s="70"/>
      <c r="M82" s="758"/>
      <c r="N82" s="758"/>
      <c r="O82" s="758"/>
      <c r="P82" s="111"/>
      <c r="Q82" s="111"/>
      <c r="R82" s="758"/>
      <c r="S82" s="758"/>
      <c r="T82" s="758"/>
      <c r="U82" s="758"/>
      <c r="V82" s="72"/>
      <c r="W82" s="758"/>
      <c r="X82" s="121"/>
      <c r="Y82" s="80"/>
      <c r="Z82">
        <v>0</v>
      </c>
    </row>
    <row r="83" spans="1:25" ht="20.25" customHeight="1">
      <c r="A83" s="142"/>
      <c r="B83" s="116"/>
      <c r="C83" s="867"/>
      <c r="D83" s="872" t="s">
        <v>59</v>
      </c>
      <c r="E83" s="83">
        <f>X83/1000</f>
        <v>31258.773</v>
      </c>
      <c r="F83" s="83">
        <v>2000</v>
      </c>
      <c r="G83" s="364">
        <f>E83-F83</f>
        <v>29258.773</v>
      </c>
      <c r="H83" s="392" t="s">
        <v>591</v>
      </c>
      <c r="I83" s="98"/>
      <c r="J83" s="755"/>
      <c r="K83" s="128"/>
      <c r="L83" s="128"/>
      <c r="M83" s="755"/>
      <c r="N83" s="755"/>
      <c r="O83" s="755"/>
      <c r="P83" s="756"/>
      <c r="Q83" s="756"/>
      <c r="R83" s="755"/>
      <c r="S83" s="755"/>
      <c r="T83" s="755"/>
      <c r="U83" s="755"/>
      <c r="V83" s="777"/>
      <c r="W83" s="755"/>
      <c r="X83" s="92">
        <v>31258773</v>
      </c>
      <c r="Y83" s="80"/>
    </row>
    <row r="84" spans="1:25" ht="20.25" customHeight="1">
      <c r="A84" s="142"/>
      <c r="B84" s="191"/>
      <c r="C84" s="750"/>
      <c r="D84" s="875"/>
      <c r="E84" s="90"/>
      <c r="F84" s="90"/>
      <c r="G84" s="265"/>
      <c r="H84" s="885"/>
      <c r="I84" s="886"/>
      <c r="J84" s="886"/>
      <c r="K84" s="886"/>
      <c r="L84" s="886"/>
      <c r="M84" s="886"/>
      <c r="N84" s="640"/>
      <c r="O84" s="640"/>
      <c r="P84" s="633"/>
      <c r="Q84" s="633"/>
      <c r="R84" s="640"/>
      <c r="S84" s="640"/>
      <c r="T84" s="640"/>
      <c r="U84" s="640"/>
      <c r="V84" s="780"/>
      <c r="W84" s="640"/>
      <c r="X84" s="119"/>
      <c r="Y84" s="80"/>
    </row>
    <row r="85" spans="1:25" ht="20.25" customHeight="1">
      <c r="A85" s="56"/>
      <c r="B85" s="784"/>
      <c r="C85" s="791"/>
      <c r="D85" s="867" t="s">
        <v>60</v>
      </c>
      <c r="E85" s="85">
        <f>X85/1000</f>
        <v>4129.157</v>
      </c>
      <c r="F85" s="85">
        <v>1000</v>
      </c>
      <c r="G85" s="385">
        <f>E85-F85</f>
        <v>3129.157</v>
      </c>
      <c r="H85" s="393" t="s">
        <v>592</v>
      </c>
      <c r="I85" s="79"/>
      <c r="J85" s="769"/>
      <c r="K85" s="96"/>
      <c r="L85" s="96"/>
      <c r="M85" s="769"/>
      <c r="N85" s="769"/>
      <c r="O85" s="769"/>
      <c r="P85" s="753"/>
      <c r="Q85" s="753"/>
      <c r="R85" s="769"/>
      <c r="S85" s="769"/>
      <c r="T85" s="769"/>
      <c r="U85" s="769"/>
      <c r="V85" s="779"/>
      <c r="W85" s="769"/>
      <c r="X85" s="118">
        <v>4129157</v>
      </c>
      <c r="Y85" s="80"/>
    </row>
    <row r="86" spans="1:25" ht="20.25" customHeight="1">
      <c r="A86" s="142"/>
      <c r="B86" s="116"/>
      <c r="C86" s="791"/>
      <c r="D86" s="875"/>
      <c r="E86" s="90"/>
      <c r="F86" s="90"/>
      <c r="G86" s="265"/>
      <c r="H86" s="885"/>
      <c r="I86" s="886"/>
      <c r="J86" s="640"/>
      <c r="K86" s="60"/>
      <c r="L86" s="60"/>
      <c r="M86" s="640"/>
      <c r="N86" s="640"/>
      <c r="O86" s="640"/>
      <c r="P86" s="633"/>
      <c r="Q86" s="633"/>
      <c r="R86" s="640"/>
      <c r="S86" s="640"/>
      <c r="T86" s="640"/>
      <c r="U86" s="640"/>
      <c r="V86" s="780"/>
      <c r="W86" s="640"/>
      <c r="X86" s="119"/>
      <c r="Y86" s="80"/>
    </row>
    <row r="87" spans="1:25" ht="20.25" customHeight="1">
      <c r="A87" s="142"/>
      <c r="B87" s="116"/>
      <c r="C87" s="791"/>
      <c r="D87" s="872" t="s">
        <v>61</v>
      </c>
      <c r="E87" s="83">
        <f>X87/1000</f>
        <v>8003.877</v>
      </c>
      <c r="F87" s="83">
        <v>9000</v>
      </c>
      <c r="G87" s="387">
        <f>E87-F87</f>
        <v>-996.1229999999996</v>
      </c>
      <c r="H87" s="392" t="s">
        <v>593</v>
      </c>
      <c r="I87" s="98"/>
      <c r="J87" s="755"/>
      <c r="K87" s="128"/>
      <c r="L87" s="128"/>
      <c r="M87" s="755"/>
      <c r="N87" s="755"/>
      <c r="O87" s="755"/>
      <c r="P87" s="756"/>
      <c r="Q87" s="756"/>
      <c r="R87" s="755"/>
      <c r="S87" s="755"/>
      <c r="T87" s="755"/>
      <c r="U87" s="755"/>
      <c r="V87" s="777"/>
      <c r="W87" s="755"/>
      <c r="X87" s="118">
        <v>8003877</v>
      </c>
      <c r="Y87" s="80"/>
    </row>
    <row r="88" spans="1:25" ht="20.25" customHeight="1" thickBot="1">
      <c r="A88" s="151"/>
      <c r="B88" s="708"/>
      <c r="C88" s="663"/>
      <c r="D88" s="873"/>
      <c r="E88" s="138"/>
      <c r="F88" s="138"/>
      <c r="G88" s="269"/>
      <c r="H88" s="709"/>
      <c r="I88" s="710"/>
      <c r="J88" s="627"/>
      <c r="K88" s="140"/>
      <c r="L88" s="140"/>
      <c r="M88" s="627"/>
      <c r="N88" s="627"/>
      <c r="O88" s="627"/>
      <c r="P88" s="628"/>
      <c r="Q88" s="628"/>
      <c r="R88" s="627"/>
      <c r="S88" s="627"/>
      <c r="T88" s="627"/>
      <c r="U88" s="627"/>
      <c r="V88" s="778"/>
      <c r="W88" s="627"/>
      <c r="X88" s="702"/>
      <c r="Y88" s="167"/>
    </row>
    <row r="89" spans="1:26" ht="20.25" customHeight="1">
      <c r="A89" s="711" t="str">
        <f>A80</f>
        <v>09.이월금</v>
      </c>
      <c r="B89" s="712" t="str">
        <f>B81</f>
        <v>91.이월금</v>
      </c>
      <c r="C89" s="869" t="s">
        <v>217</v>
      </c>
      <c r="D89" s="706"/>
      <c r="E89" s="195">
        <f>SUM(E90)</f>
        <v>0</v>
      </c>
      <c r="F89" s="195">
        <v>0</v>
      </c>
      <c r="G89" s="386">
        <f>E89-F89</f>
        <v>0</v>
      </c>
      <c r="H89" s="713"/>
      <c r="I89" s="106"/>
      <c r="J89" s="107"/>
      <c r="K89" s="108"/>
      <c r="L89" s="108"/>
      <c r="M89" s="107"/>
      <c r="N89" s="107"/>
      <c r="O89" s="107"/>
      <c r="P89" s="109"/>
      <c r="Q89" s="109"/>
      <c r="R89" s="107"/>
      <c r="S89" s="107"/>
      <c r="T89" s="107"/>
      <c r="U89" s="107"/>
      <c r="V89" s="110"/>
      <c r="W89" s="107"/>
      <c r="X89" s="120"/>
      <c r="Y89" s="80"/>
      <c r="Z89">
        <v>0</v>
      </c>
    </row>
    <row r="90" spans="1:25" ht="20.25" customHeight="1">
      <c r="A90" s="142"/>
      <c r="B90" s="116"/>
      <c r="C90" s="867"/>
      <c r="D90" s="872" t="s">
        <v>218</v>
      </c>
      <c r="E90" s="83"/>
      <c r="F90" s="83"/>
      <c r="G90" s="387">
        <f>E90-F90</f>
        <v>0</v>
      </c>
      <c r="H90" s="145" t="s">
        <v>318</v>
      </c>
      <c r="I90" s="98"/>
      <c r="J90" s="755"/>
      <c r="K90" s="128"/>
      <c r="L90" s="128"/>
      <c r="M90" s="755"/>
      <c r="N90" s="755"/>
      <c r="O90" s="755"/>
      <c r="P90" s="756"/>
      <c r="Q90" s="756"/>
      <c r="R90" s="755"/>
      <c r="S90" s="755"/>
      <c r="T90" s="755"/>
      <c r="U90" s="755"/>
      <c r="V90" s="777"/>
      <c r="W90" s="755"/>
      <c r="X90" s="92"/>
      <c r="Y90" s="80"/>
    </row>
    <row r="91" spans="1:25" ht="20.25" customHeight="1" thickBot="1">
      <c r="A91" s="151"/>
      <c r="B91" s="239"/>
      <c r="C91" s="663"/>
      <c r="D91" s="873"/>
      <c r="E91" s="138"/>
      <c r="F91" s="138"/>
      <c r="G91" s="269"/>
      <c r="H91" s="154"/>
      <c r="I91" s="139"/>
      <c r="J91" s="627"/>
      <c r="K91" s="140"/>
      <c r="L91" s="140"/>
      <c r="M91" s="627"/>
      <c r="N91" s="627"/>
      <c r="O91" s="627"/>
      <c r="P91" s="628"/>
      <c r="Q91" s="628"/>
      <c r="R91" s="627"/>
      <c r="S91" s="627"/>
      <c r="T91" s="627"/>
      <c r="U91" s="627"/>
      <c r="V91" s="778"/>
      <c r="W91" s="627"/>
      <c r="X91" s="141"/>
      <c r="Y91" s="80"/>
    </row>
    <row r="92" spans="1:26" ht="20.25" customHeight="1">
      <c r="A92" s="101" t="s">
        <v>68</v>
      </c>
      <c r="B92" s="147"/>
      <c r="C92" s="182"/>
      <c r="D92" s="182"/>
      <c r="E92" s="235">
        <f>E93</f>
        <v>11025</v>
      </c>
      <c r="F92" s="235">
        <v>10979</v>
      </c>
      <c r="G92" s="484">
        <f>E92-F92</f>
        <v>46</v>
      </c>
      <c r="H92" s="542"/>
      <c r="I92" s="155"/>
      <c r="J92" s="156"/>
      <c r="K92" s="278"/>
      <c r="L92" s="278"/>
      <c r="M92" s="156"/>
      <c r="N92" s="156"/>
      <c r="O92" s="156"/>
      <c r="P92" s="707"/>
      <c r="Q92" s="707"/>
      <c r="R92" s="156"/>
      <c r="S92" s="156"/>
      <c r="T92" s="156"/>
      <c r="U92" s="156"/>
      <c r="V92" s="785"/>
      <c r="W92" s="156"/>
      <c r="X92" s="199"/>
      <c r="Y92" s="80"/>
      <c r="Z92">
        <v>6097040</v>
      </c>
    </row>
    <row r="93" spans="1:26" ht="20.25" customHeight="1">
      <c r="A93" s="63"/>
      <c r="B93" s="783" t="s">
        <v>69</v>
      </c>
      <c r="C93" s="179"/>
      <c r="D93" s="790"/>
      <c r="E93" s="83">
        <f>SUM(E94,E97,E100)</f>
        <v>11025</v>
      </c>
      <c r="F93" s="83">
        <v>10979</v>
      </c>
      <c r="G93" s="387">
        <f>E93-F93</f>
        <v>46</v>
      </c>
      <c r="H93" s="68"/>
      <c r="I93" s="69"/>
      <c r="J93" s="758"/>
      <c r="K93" s="70"/>
      <c r="L93" s="70"/>
      <c r="M93" s="758"/>
      <c r="N93" s="758"/>
      <c r="O93" s="758"/>
      <c r="P93" s="111"/>
      <c r="Q93" s="111"/>
      <c r="R93" s="758"/>
      <c r="S93" s="758"/>
      <c r="T93" s="758"/>
      <c r="U93" s="758"/>
      <c r="V93" s="72"/>
      <c r="W93" s="758"/>
      <c r="X93" s="121"/>
      <c r="Y93" s="80"/>
      <c r="Z93">
        <v>6097040</v>
      </c>
    </row>
    <row r="94" spans="1:26" ht="20.25" customHeight="1">
      <c r="A94" s="142"/>
      <c r="B94" s="116"/>
      <c r="C94" s="872" t="s">
        <v>70</v>
      </c>
      <c r="D94" s="177"/>
      <c r="E94" s="136">
        <f>SUM(E95)</f>
        <v>200</v>
      </c>
      <c r="F94" s="136">
        <v>200</v>
      </c>
      <c r="G94" s="387">
        <f>E94-F94</f>
        <v>0</v>
      </c>
      <c r="H94" s="143"/>
      <c r="I94" s="79"/>
      <c r="J94" s="769"/>
      <c r="K94" s="96"/>
      <c r="L94" s="96"/>
      <c r="M94" s="769"/>
      <c r="N94" s="769"/>
      <c r="O94" s="769"/>
      <c r="P94" s="753"/>
      <c r="Q94" s="753"/>
      <c r="R94" s="769"/>
      <c r="S94" s="769"/>
      <c r="T94" s="769"/>
      <c r="U94" s="769"/>
      <c r="V94" s="779"/>
      <c r="W94" s="769"/>
      <c r="X94" s="118"/>
      <c r="Y94" s="80"/>
      <c r="Z94">
        <v>0</v>
      </c>
    </row>
    <row r="95" spans="1:25" ht="20.25" customHeight="1">
      <c r="A95" s="142"/>
      <c r="B95" s="116"/>
      <c r="C95" s="867"/>
      <c r="D95" s="872" t="s">
        <v>71</v>
      </c>
      <c r="E95" s="83">
        <f>X95/1000</f>
        <v>200</v>
      </c>
      <c r="F95" s="83">
        <v>200</v>
      </c>
      <c r="G95" s="364">
        <f>E95-F95</f>
        <v>0</v>
      </c>
      <c r="H95" s="392" t="s">
        <v>319</v>
      </c>
      <c r="I95" s="98"/>
      <c r="J95" s="755"/>
      <c r="K95" s="128"/>
      <c r="L95" s="128"/>
      <c r="M95" s="755"/>
      <c r="N95" s="755"/>
      <c r="O95" s="755"/>
      <c r="P95" s="756"/>
      <c r="Q95" s="756"/>
      <c r="R95" s="755"/>
      <c r="S95" s="755"/>
      <c r="T95" s="755"/>
      <c r="U95" s="755"/>
      <c r="V95" s="777"/>
      <c r="W95" s="755"/>
      <c r="X95" s="683">
        <v>200000</v>
      </c>
      <c r="Y95" s="592"/>
    </row>
    <row r="96" spans="1:25" ht="20.25" customHeight="1">
      <c r="A96" s="142"/>
      <c r="B96" s="116"/>
      <c r="C96" s="791"/>
      <c r="D96" s="875"/>
      <c r="E96" s="90"/>
      <c r="F96" s="90"/>
      <c r="G96" s="265"/>
      <c r="H96" s="143"/>
      <c r="I96" s="79"/>
      <c r="J96" s="769"/>
      <c r="K96" s="96"/>
      <c r="L96" s="96"/>
      <c r="M96" s="769"/>
      <c r="N96" s="769"/>
      <c r="O96" s="769"/>
      <c r="P96" s="753"/>
      <c r="Q96" s="753"/>
      <c r="R96" s="769"/>
      <c r="S96" s="769"/>
      <c r="T96" s="769"/>
      <c r="U96" s="769"/>
      <c r="V96" s="779"/>
      <c r="W96" s="769"/>
      <c r="X96" s="118"/>
      <c r="Y96" s="80"/>
    </row>
    <row r="97" spans="1:26" ht="20.25" customHeight="1">
      <c r="A97" s="142"/>
      <c r="B97" s="116"/>
      <c r="C97" s="872" t="s">
        <v>72</v>
      </c>
      <c r="D97" s="177"/>
      <c r="E97" s="136">
        <f>E98</f>
        <v>245</v>
      </c>
      <c r="F97" s="136">
        <v>199</v>
      </c>
      <c r="G97" s="387">
        <f>E97-F97</f>
        <v>46</v>
      </c>
      <c r="H97" s="144"/>
      <c r="I97" s="69"/>
      <c r="J97" s="758"/>
      <c r="K97" s="70"/>
      <c r="L97" s="70"/>
      <c r="M97" s="758"/>
      <c r="N97" s="758"/>
      <c r="O97" s="758"/>
      <c r="P97" s="111"/>
      <c r="Q97" s="111"/>
      <c r="R97" s="758"/>
      <c r="S97" s="758"/>
      <c r="T97" s="758"/>
      <c r="U97" s="758"/>
      <c r="V97" s="72"/>
      <c r="W97" s="758"/>
      <c r="X97" s="121"/>
      <c r="Y97" s="80"/>
      <c r="Z97">
        <v>297040</v>
      </c>
    </row>
    <row r="98" spans="1:26" ht="20.25" customHeight="1">
      <c r="A98" s="142"/>
      <c r="B98" s="116"/>
      <c r="C98" s="867"/>
      <c r="D98" s="872" t="s">
        <v>74</v>
      </c>
      <c r="E98" s="83">
        <f>Y98/1000</f>
        <v>245</v>
      </c>
      <c r="F98" s="83">
        <v>199</v>
      </c>
      <c r="G98" s="387">
        <f>E98-F98</f>
        <v>46</v>
      </c>
      <c r="H98" s="393" t="s">
        <v>320</v>
      </c>
      <c r="I98" s="79" t="s">
        <v>716</v>
      </c>
      <c r="J98" s="769"/>
      <c r="K98" s="96"/>
      <c r="L98" s="96"/>
      <c r="M98" s="769"/>
      <c r="N98" s="769"/>
      <c r="O98" s="769"/>
      <c r="P98" s="167"/>
      <c r="Q98" s="167"/>
      <c r="R98" s="167"/>
      <c r="S98" s="167"/>
      <c r="T98" s="167"/>
      <c r="U98" s="167"/>
      <c r="V98" s="167"/>
      <c r="W98" s="167"/>
      <c r="X98" s="820">
        <f>245000-199000</f>
        <v>46000</v>
      </c>
      <c r="Y98" s="683">
        <v>245000</v>
      </c>
      <c r="Z98">
        <v>297040</v>
      </c>
    </row>
    <row r="99" spans="1:25" ht="20.25" customHeight="1" thickBot="1">
      <c r="A99" s="151"/>
      <c r="B99" s="708"/>
      <c r="C99" s="663"/>
      <c r="D99" s="873"/>
      <c r="E99" s="138"/>
      <c r="F99" s="138"/>
      <c r="G99" s="822"/>
      <c r="H99" s="154"/>
      <c r="I99" s="139"/>
      <c r="J99" s="627"/>
      <c r="K99" s="140"/>
      <c r="L99" s="140"/>
      <c r="M99" s="627"/>
      <c r="N99" s="627"/>
      <c r="O99" s="627"/>
      <c r="P99" s="883"/>
      <c r="Q99" s="883"/>
      <c r="R99" s="883"/>
      <c r="S99" s="883"/>
      <c r="T99" s="883"/>
      <c r="U99" s="883"/>
      <c r="V99" s="883"/>
      <c r="W99" s="883"/>
      <c r="X99" s="884"/>
      <c r="Y99" s="762"/>
    </row>
    <row r="100" spans="1:26" ht="20.25" customHeight="1" hidden="1">
      <c r="A100" s="142"/>
      <c r="B100" s="73"/>
      <c r="C100" s="867" t="s">
        <v>73</v>
      </c>
      <c r="D100" s="806"/>
      <c r="E100" s="90">
        <f>SUM(E101,E103)</f>
        <v>10580</v>
      </c>
      <c r="F100" s="90">
        <v>10580</v>
      </c>
      <c r="G100" s="385">
        <f>E100-F100</f>
        <v>0</v>
      </c>
      <c r="H100" s="146"/>
      <c r="I100" s="59"/>
      <c r="J100" s="640"/>
      <c r="K100" s="60"/>
      <c r="L100" s="60"/>
      <c r="M100" s="640"/>
      <c r="N100" s="640"/>
      <c r="O100" s="640"/>
      <c r="P100" s="633"/>
      <c r="Q100" s="633"/>
      <c r="R100" s="640"/>
      <c r="S100" s="640"/>
      <c r="T100" s="640"/>
      <c r="U100" s="640"/>
      <c r="V100" s="780"/>
      <c r="W100" s="640"/>
      <c r="X100" s="119"/>
      <c r="Y100" s="80"/>
      <c r="Z100">
        <v>5800000</v>
      </c>
    </row>
    <row r="101" spans="1:25" ht="20.25" customHeight="1" hidden="1">
      <c r="A101" s="142"/>
      <c r="B101" s="116"/>
      <c r="C101" s="867"/>
      <c r="D101" s="872" t="s">
        <v>142</v>
      </c>
      <c r="E101" s="83">
        <f>X101/1000</f>
        <v>500</v>
      </c>
      <c r="F101" s="83">
        <v>500</v>
      </c>
      <c r="G101" s="387">
        <f>E101-F101</f>
        <v>0</v>
      </c>
      <c r="H101" s="652" t="s">
        <v>569</v>
      </c>
      <c r="I101" s="79">
        <v>100000</v>
      </c>
      <c r="J101" s="463"/>
      <c r="K101" s="96"/>
      <c r="L101" s="638" t="s">
        <v>441</v>
      </c>
      <c r="M101" s="463"/>
      <c r="N101" s="920">
        <v>5</v>
      </c>
      <c r="O101" s="920"/>
      <c r="P101" s="921" t="s">
        <v>5</v>
      </c>
      <c r="Q101" s="921"/>
      <c r="R101" s="463"/>
      <c r="S101" s="167"/>
      <c r="T101" s="463"/>
      <c r="U101" s="463" t="s">
        <v>443</v>
      </c>
      <c r="V101" s="49"/>
      <c r="W101" s="49"/>
      <c r="X101" s="118">
        <f>SUM(I101*N101)</f>
        <v>500000</v>
      </c>
      <c r="Y101" s="80"/>
    </row>
    <row r="102" spans="1:25" ht="20.25" customHeight="1" hidden="1">
      <c r="A102" s="142"/>
      <c r="B102" s="116"/>
      <c r="C102" s="646"/>
      <c r="D102" s="875"/>
      <c r="E102" s="85"/>
      <c r="F102" s="85"/>
      <c r="G102" s="684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705"/>
      <c r="Y102" s="167"/>
    </row>
    <row r="103" spans="1:26" ht="20.25" customHeight="1" hidden="1">
      <c r="A103" s="142"/>
      <c r="B103" s="116"/>
      <c r="C103" s="646"/>
      <c r="D103" s="872" t="s">
        <v>138</v>
      </c>
      <c r="E103" s="83">
        <f>X103/1000</f>
        <v>10080</v>
      </c>
      <c r="F103" s="83">
        <v>10080</v>
      </c>
      <c r="G103" s="364">
        <f>E103-F103</f>
        <v>0</v>
      </c>
      <c r="H103" s="654" t="s">
        <v>595</v>
      </c>
      <c r="I103" s="626">
        <v>40000</v>
      </c>
      <c r="J103" s="664" t="s">
        <v>3</v>
      </c>
      <c r="K103" s="877">
        <v>21</v>
      </c>
      <c r="L103" s="877"/>
      <c r="M103" s="664" t="s">
        <v>5</v>
      </c>
      <c r="N103" s="664" t="s">
        <v>3</v>
      </c>
      <c r="O103" s="664"/>
      <c r="P103" s="922">
        <v>12</v>
      </c>
      <c r="Q103" s="922"/>
      <c r="R103" s="919" t="s">
        <v>6</v>
      </c>
      <c r="S103" s="919"/>
      <c r="T103" s="664"/>
      <c r="U103" s="363" t="s">
        <v>4</v>
      </c>
      <c r="V103" s="363"/>
      <c r="W103" s="84"/>
      <c r="X103" s="92">
        <f>I103*K103*P103</f>
        <v>10080000</v>
      </c>
      <c r="Y103" s="80"/>
      <c r="Z103">
        <v>5800000</v>
      </c>
    </row>
    <row r="104" spans="1:25" ht="20.25" customHeight="1" hidden="1" thickBot="1">
      <c r="A104" s="151"/>
      <c r="B104" s="708"/>
      <c r="C104" s="663"/>
      <c r="D104" s="873"/>
      <c r="E104" s="138"/>
      <c r="F104" s="138"/>
      <c r="G104" s="269"/>
      <c r="H104" s="689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702"/>
      <c r="Y104" s="167"/>
    </row>
    <row r="105" spans="1:25" ht="321.75" customHeight="1" thickBot="1">
      <c r="A105" s="538"/>
      <c r="B105" s="539"/>
      <c r="C105" s="539"/>
      <c r="D105" s="539"/>
      <c r="E105" s="540"/>
      <c r="F105" s="540"/>
      <c r="G105" s="541"/>
      <c r="H105" s="55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49"/>
      <c r="Y105" s="1"/>
    </row>
    <row r="106" spans="1:25" ht="18" customHeight="1">
      <c r="A106" s="536"/>
      <c r="B106" s="150"/>
      <c r="C106" s="150"/>
      <c r="D106" s="150"/>
      <c r="E106" s="1"/>
      <c r="F106" s="1"/>
      <c r="G106" s="270"/>
      <c r="H106" s="1"/>
      <c r="I106" s="1"/>
      <c r="J106" s="1"/>
      <c r="K106" s="1"/>
      <c r="L106" s="914">
        <v>16</v>
      </c>
      <c r="M106" s="91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48"/>
      <c r="Y106" s="1"/>
    </row>
    <row r="107" spans="1:25" ht="18" customHeight="1" thickBot="1">
      <c r="A107" s="537"/>
      <c r="B107" s="8"/>
      <c r="C107" s="8"/>
      <c r="D107" s="8"/>
      <c r="E107" s="7"/>
      <c r="F107" s="7"/>
      <c r="G107" s="271"/>
      <c r="H107" s="7"/>
      <c r="I107" s="7"/>
      <c r="J107" s="7"/>
      <c r="K107" s="7"/>
      <c r="L107" s="914">
        <v>17</v>
      </c>
      <c r="M107" s="914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49"/>
      <c r="Y107" s="1"/>
    </row>
    <row r="108" spans="1:25" ht="18" customHeight="1">
      <c r="A108" s="2"/>
      <c r="B108" s="2"/>
      <c r="C108" s="2"/>
      <c r="D108" s="2"/>
      <c r="E108" s="2"/>
      <c r="F108" s="2"/>
      <c r="G108" s="272"/>
      <c r="H108" s="2"/>
      <c r="I108" s="2"/>
      <c r="J108" s="2"/>
      <c r="K108" s="2"/>
      <c r="L108" s="914">
        <v>19</v>
      </c>
      <c r="M108" s="91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8" customHeight="1">
      <c r="A109" s="2"/>
      <c r="B109" s="2"/>
      <c r="C109" s="2"/>
      <c r="D109" s="2"/>
      <c r="E109" s="2"/>
      <c r="F109" s="2"/>
      <c r="G109" s="272"/>
      <c r="H109" s="2"/>
      <c r="I109" s="2"/>
      <c r="J109" s="2"/>
      <c r="K109" s="2"/>
      <c r="L109" s="912">
        <v>21</v>
      </c>
      <c r="M109" s="91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>
      <c r="A110" s="2"/>
      <c r="B110" s="2"/>
      <c r="C110" s="2"/>
      <c r="D110" s="2"/>
      <c r="E110" s="2"/>
      <c r="F110" s="2"/>
      <c r="G110" s="27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>
      <c r="A111" s="2"/>
      <c r="B111" s="2"/>
      <c r="C111" s="2"/>
      <c r="D111" s="2"/>
      <c r="E111" s="2"/>
      <c r="F111" s="2"/>
      <c r="G111" s="27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>
      <c r="A112" s="2"/>
      <c r="B112" s="2"/>
      <c r="C112" s="2"/>
      <c r="D112" s="2"/>
      <c r="E112" s="2"/>
      <c r="F112" s="2"/>
      <c r="G112" s="27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</sheetData>
  <mergeCells count="128">
    <mergeCell ref="Y25:AA25"/>
    <mergeCell ref="Y26:AA26"/>
    <mergeCell ref="I25:S25"/>
    <mergeCell ref="A64:A65"/>
    <mergeCell ref="B64:B65"/>
    <mergeCell ref="L106:M106"/>
    <mergeCell ref="L107:M107"/>
    <mergeCell ref="L108:M108"/>
    <mergeCell ref="C29:C30"/>
    <mergeCell ref="D90:D91"/>
    <mergeCell ref="D78:D79"/>
    <mergeCell ref="D65:D66"/>
    <mergeCell ref="C94:C95"/>
    <mergeCell ref="D95:D96"/>
    <mergeCell ref="D35:D36"/>
    <mergeCell ref="D103:D104"/>
    <mergeCell ref="C97:C98"/>
    <mergeCell ref="D39:D40"/>
    <mergeCell ref="C61:C62"/>
    <mergeCell ref="D62:D63"/>
    <mergeCell ref="C53:C54"/>
    <mergeCell ref="D54:D55"/>
    <mergeCell ref="D37:D38"/>
    <mergeCell ref="L109:M109"/>
    <mergeCell ref="P41:U41"/>
    <mergeCell ref="H47:M47"/>
    <mergeCell ref="K39:L39"/>
    <mergeCell ref="K42:L42"/>
    <mergeCell ref="P47:X47"/>
    <mergeCell ref="K43:L43"/>
    <mergeCell ref="H57:I57"/>
    <mergeCell ref="H41:M41"/>
    <mergeCell ref="N65:O65"/>
    <mergeCell ref="M48:N48"/>
    <mergeCell ref="K51:L51"/>
    <mergeCell ref="R103:S103"/>
    <mergeCell ref="P62:Q62"/>
    <mergeCell ref="H54:I54"/>
    <mergeCell ref="K48:L48"/>
    <mergeCell ref="K103:L103"/>
    <mergeCell ref="N101:O101"/>
    <mergeCell ref="N62:O62"/>
    <mergeCell ref="K49:L49"/>
    <mergeCell ref="P101:Q101"/>
    <mergeCell ref="P103:Q103"/>
    <mergeCell ref="Y20:AA20"/>
    <mergeCell ref="Y24:AA24"/>
    <mergeCell ref="I16:S16"/>
    <mergeCell ref="I19:S19"/>
    <mergeCell ref="Y19:AA19"/>
    <mergeCell ref="I20:S20"/>
    <mergeCell ref="I24:S24"/>
    <mergeCell ref="Y21:AA21"/>
    <mergeCell ref="I21:S21"/>
    <mergeCell ref="Y23:AA23"/>
    <mergeCell ref="I22:S22"/>
    <mergeCell ref="Y22:AA22"/>
    <mergeCell ref="Y15:AA15"/>
    <mergeCell ref="I13:S13"/>
    <mergeCell ref="Y13:AA13"/>
    <mergeCell ref="I14:S14"/>
    <mergeCell ref="Y14:AA14"/>
    <mergeCell ref="I15:S15"/>
    <mergeCell ref="I17:S17"/>
    <mergeCell ref="I18:S18"/>
    <mergeCell ref="Y16:AA16"/>
    <mergeCell ref="Y18:AA18"/>
    <mergeCell ref="A1:X1"/>
    <mergeCell ref="H12:I12"/>
    <mergeCell ref="A5:A6"/>
    <mergeCell ref="B6:B7"/>
    <mergeCell ref="C7:C8"/>
    <mergeCell ref="D8:D9"/>
    <mergeCell ref="A10:A11"/>
    <mergeCell ref="B11:B12"/>
    <mergeCell ref="A4:D4"/>
    <mergeCell ref="H8:U8"/>
    <mergeCell ref="P65:Q65"/>
    <mergeCell ref="C82:C83"/>
    <mergeCell ref="D70:D71"/>
    <mergeCell ref="C72:C73"/>
    <mergeCell ref="D73:D74"/>
    <mergeCell ref="C77:C78"/>
    <mergeCell ref="D98:D99"/>
    <mergeCell ref="I23:S23"/>
    <mergeCell ref="A2:C2"/>
    <mergeCell ref="H7:K7"/>
    <mergeCell ref="H3:X3"/>
    <mergeCell ref="C12:C13"/>
    <mergeCell ref="C56:C57"/>
    <mergeCell ref="I26:S26"/>
    <mergeCell ref="C100:C101"/>
    <mergeCell ref="D101:D102"/>
    <mergeCell ref="D85:D86"/>
    <mergeCell ref="D87:D88"/>
    <mergeCell ref="C69:C70"/>
    <mergeCell ref="C64:C65"/>
    <mergeCell ref="I37:R37"/>
    <mergeCell ref="K45:L45"/>
    <mergeCell ref="I27:S27"/>
    <mergeCell ref="I28:S28"/>
    <mergeCell ref="I31:R31"/>
    <mergeCell ref="I33:Q33"/>
    <mergeCell ref="I34:Q34"/>
    <mergeCell ref="D27:D28"/>
    <mergeCell ref="I35:R35"/>
    <mergeCell ref="I36:R36"/>
    <mergeCell ref="K29:L29"/>
    <mergeCell ref="D83:D84"/>
    <mergeCell ref="P99:X99"/>
    <mergeCell ref="C89:C90"/>
    <mergeCell ref="H84:M84"/>
    <mergeCell ref="H86:I86"/>
    <mergeCell ref="N78:O78"/>
    <mergeCell ref="P78:Q78"/>
    <mergeCell ref="A29:A30"/>
    <mergeCell ref="B29:B30"/>
    <mergeCell ref="A53:A54"/>
    <mergeCell ref="B53:B54"/>
    <mergeCell ref="A59:A60"/>
    <mergeCell ref="B60:B61"/>
    <mergeCell ref="D57:D58"/>
    <mergeCell ref="D49:D50"/>
    <mergeCell ref="D51:D52"/>
    <mergeCell ref="D43:D44"/>
    <mergeCell ref="D41:D42"/>
    <mergeCell ref="C51:C52"/>
    <mergeCell ref="D47:D48"/>
  </mergeCells>
  <printOptions/>
  <pageMargins left="0.5905511811023623" right="0.3937007874015748" top="0.5511811023622047" bottom="0.31496062992125984" header="0.5905511811023623" footer="0.1968503937007874"/>
  <pageSetup horizontalDpi="600" verticalDpi="600" orientation="landscape" paperSize="9" scale="80" r:id="rId1"/>
  <headerFooter alignWithMargins="0">
    <oddFooter>&amp;C-&amp;P+6-</oddFooter>
  </headerFooter>
  <rowBreaks count="2" manualBreakCount="2">
    <brk id="79" max="16383" man="1"/>
    <brk id="1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54"/>
  <sheetViews>
    <sheetView view="pageBreakPreview" zoomScale="85" zoomScaleSheetLayoutView="85" workbookViewId="0" topLeftCell="A256">
      <selection activeCell="AA273" sqref="AA273"/>
    </sheetView>
  </sheetViews>
  <sheetFormatPr defaultColWidth="8.88671875" defaultRowHeight="13.5"/>
  <cols>
    <col min="1" max="1" width="8.21484375" style="0" customWidth="1"/>
    <col min="2" max="2" width="8.6640625" style="0" customWidth="1"/>
    <col min="3" max="3" width="7.77734375" style="0" customWidth="1"/>
    <col min="4" max="4" width="10.4453125" style="0" customWidth="1"/>
    <col min="5" max="5" width="15.21484375" style="0" customWidth="1"/>
    <col min="6" max="6" width="13.88671875" style="0" customWidth="1"/>
    <col min="7" max="7" width="14.88671875" style="0" customWidth="1"/>
    <col min="8" max="8" width="14.99609375" style="0" customWidth="1"/>
    <col min="9" max="9" width="10.88671875" style="0" customWidth="1"/>
    <col min="10" max="10" width="2.10546875" style="0" customWidth="1"/>
    <col min="11" max="12" width="2.4453125" style="0" customWidth="1"/>
    <col min="13" max="13" width="3.4453125" style="0" customWidth="1"/>
    <col min="14" max="14" width="3.10546875" style="0" customWidth="1"/>
    <col min="15" max="15" width="2.77734375" style="0" customWidth="1"/>
    <col min="16" max="16" width="2.99609375" style="0" customWidth="1"/>
    <col min="17" max="17" width="3.4453125" style="0" customWidth="1"/>
    <col min="18" max="18" width="1.4375" style="0" customWidth="1"/>
    <col min="19" max="19" width="0.671875" style="0" customWidth="1"/>
    <col min="20" max="20" width="2.10546875" style="0" customWidth="1"/>
    <col min="21" max="21" width="2.21484375" style="0" customWidth="1"/>
    <col min="22" max="22" width="1.88671875" style="0" customWidth="1"/>
    <col min="23" max="23" width="1.99609375" style="0" customWidth="1"/>
    <col min="24" max="24" width="12.21484375" style="0" customWidth="1"/>
    <col min="25" max="26" width="10.99609375" style="0" customWidth="1"/>
    <col min="27" max="27" width="12.6640625" style="0" bestFit="1" customWidth="1"/>
    <col min="30" max="30" width="15.21484375" style="0" customWidth="1"/>
  </cols>
  <sheetData>
    <row r="1" spans="1:26" s="5" customFormat="1" ht="30" customHeight="1">
      <c r="A1" s="895" t="s">
        <v>720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757"/>
      <c r="Z1" s="757"/>
    </row>
    <row r="2" spans="1:26" s="5" customFormat="1" ht="18.75" customHeight="1" thickBot="1">
      <c r="A2" s="964"/>
      <c r="B2" s="964"/>
      <c r="C2" s="96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5" t="s">
        <v>279</v>
      </c>
      <c r="Y2" s="55"/>
      <c r="Z2" s="55"/>
    </row>
    <row r="3" spans="1:26" ht="30.75" customHeight="1" thickBot="1">
      <c r="A3" s="127" t="s">
        <v>0</v>
      </c>
      <c r="B3" s="794" t="s">
        <v>1</v>
      </c>
      <c r="C3" s="794" t="s">
        <v>2</v>
      </c>
      <c r="D3" s="794" t="s">
        <v>30</v>
      </c>
      <c r="E3" s="384" t="s">
        <v>338</v>
      </c>
      <c r="F3" s="687" t="s">
        <v>723</v>
      </c>
      <c r="G3" s="375" t="s">
        <v>339</v>
      </c>
      <c r="H3" s="965" t="s">
        <v>31</v>
      </c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  <c r="U3" s="965"/>
      <c r="V3" s="965"/>
      <c r="W3" s="965"/>
      <c r="X3" s="966"/>
      <c r="Y3" s="808"/>
      <c r="Z3" s="808"/>
    </row>
    <row r="4" spans="1:30" s="6" customFormat="1" ht="30" customHeight="1" thickBot="1">
      <c r="A4" s="967" t="s">
        <v>35</v>
      </c>
      <c r="B4" s="968"/>
      <c r="C4" s="968"/>
      <c r="D4" s="969"/>
      <c r="E4" s="200">
        <f>SUM(E5,E152,E182,E323,E331,E341,E336)</f>
        <v>1077100.4100000001</v>
      </c>
      <c r="F4" s="200">
        <v>985960.0000000001</v>
      </c>
      <c r="G4" s="413">
        <f>E4-F4</f>
        <v>91140.41000000003</v>
      </c>
      <c r="H4" s="414" t="s">
        <v>721</v>
      </c>
      <c r="I4" s="407"/>
      <c r="J4" s="408"/>
      <c r="K4" s="409"/>
      <c r="L4" s="409"/>
      <c r="M4" s="408"/>
      <c r="N4" s="408"/>
      <c r="O4" s="408"/>
      <c r="P4" s="410"/>
      <c r="Q4" s="410"/>
      <c r="R4" s="408"/>
      <c r="S4" s="408"/>
      <c r="T4" s="408"/>
      <c r="U4" s="408"/>
      <c r="V4" s="408"/>
      <c r="W4" s="411"/>
      <c r="X4" s="412"/>
      <c r="Y4" s="813"/>
      <c r="Z4" s="813"/>
      <c r="AA4" s="435" t="s">
        <v>280</v>
      </c>
      <c r="AB4" s="6" t="s">
        <v>345</v>
      </c>
      <c r="AD4" s="200" t="e">
        <f>SUM(AD5,#REF!,AD154,#REF!,#REF!,AD321)</f>
        <v>#REF!</v>
      </c>
    </row>
    <row r="5" spans="1:30" ht="20.25" customHeight="1">
      <c r="A5" s="355" t="s">
        <v>75</v>
      </c>
      <c r="B5" s="415"/>
      <c r="C5" s="102"/>
      <c r="D5" s="103"/>
      <c r="E5" s="235">
        <f>SUM(E6,E108,E116)</f>
        <v>914230.2900000002</v>
      </c>
      <c r="F5" s="104">
        <v>859498.0800000001</v>
      </c>
      <c r="G5" s="405">
        <f>E5-F5</f>
        <v>54732.21000000008</v>
      </c>
      <c r="H5" s="105"/>
      <c r="I5" s="106"/>
      <c r="J5" s="107"/>
      <c r="K5" s="334"/>
      <c r="L5" s="334"/>
      <c r="M5" s="107"/>
      <c r="N5" s="107"/>
      <c r="O5" s="107"/>
      <c r="P5" s="158"/>
      <c r="Q5" s="158"/>
      <c r="R5" s="107"/>
      <c r="S5" s="107"/>
      <c r="T5" s="107"/>
      <c r="U5" s="107"/>
      <c r="V5" s="107"/>
      <c r="W5" s="110"/>
      <c r="X5" s="335"/>
      <c r="Y5" s="236"/>
      <c r="Z5" s="236"/>
      <c r="AA5" s="253">
        <f>세입예산!E4</f>
        <v>1077100.229</v>
      </c>
      <c r="AB5" s="253">
        <f>E4-F4</f>
        <v>91140.41000000003</v>
      </c>
      <c r="AD5">
        <v>448989550</v>
      </c>
    </row>
    <row r="6" spans="1:30" ht="18.75" customHeight="1">
      <c r="A6" s="63"/>
      <c r="B6" s="797" t="s">
        <v>76</v>
      </c>
      <c r="C6" s="64"/>
      <c r="D6" s="76"/>
      <c r="E6" s="136">
        <f>SUM(E7,E41,E44,E47,E89,E92,E103)</f>
        <v>856370.2900000002</v>
      </c>
      <c r="F6" s="67">
        <v>804638.0800000001</v>
      </c>
      <c r="G6" s="395">
        <f>E6-F6</f>
        <v>51732.21000000008</v>
      </c>
      <c r="H6" s="68"/>
      <c r="I6" s="69"/>
      <c r="J6" s="758"/>
      <c r="K6" s="70"/>
      <c r="L6" s="70"/>
      <c r="M6" s="758"/>
      <c r="N6" s="758"/>
      <c r="O6" s="758"/>
      <c r="P6" s="71"/>
      <c r="Q6" s="71"/>
      <c r="R6" s="758"/>
      <c r="S6" s="758"/>
      <c r="T6" s="758"/>
      <c r="U6" s="758"/>
      <c r="V6" s="758"/>
      <c r="W6" s="72"/>
      <c r="X6" s="124"/>
      <c r="Y6" s="236"/>
      <c r="Z6" s="236"/>
      <c r="AA6" s="253" t="e">
        <f>세입예산!#REF!-세출예산!E6</f>
        <v>#REF!</v>
      </c>
      <c r="AD6">
        <v>428289550</v>
      </c>
    </row>
    <row r="7" spans="1:30" ht="18.75" customHeight="1">
      <c r="A7" s="115"/>
      <c r="B7" s="784"/>
      <c r="C7" s="97" t="s">
        <v>77</v>
      </c>
      <c r="D7" s="76"/>
      <c r="E7" s="136">
        <f>E8</f>
        <v>475677</v>
      </c>
      <c r="F7" s="67">
        <v>450684</v>
      </c>
      <c r="G7" s="395">
        <f>E7-F7</f>
        <v>24993</v>
      </c>
      <c r="H7" s="970"/>
      <c r="I7" s="887"/>
      <c r="J7" s="755"/>
      <c r="K7" s="128"/>
      <c r="L7" s="128"/>
      <c r="M7" s="755"/>
      <c r="N7" s="755"/>
      <c r="O7" s="755"/>
      <c r="P7" s="761"/>
      <c r="Q7" s="761"/>
      <c r="R7" s="755"/>
      <c r="S7" s="755"/>
      <c r="T7" s="755"/>
      <c r="U7" s="755"/>
      <c r="V7" s="755"/>
      <c r="W7" s="777"/>
      <c r="X7" s="701"/>
      <c r="Y7" s="236"/>
      <c r="Z7" s="236"/>
      <c r="AD7">
        <v>233455000</v>
      </c>
    </row>
    <row r="8" spans="1:31" ht="19.5" customHeight="1">
      <c r="A8" s="63"/>
      <c r="B8" s="507"/>
      <c r="C8" s="784"/>
      <c r="D8" s="336" t="s">
        <v>78</v>
      </c>
      <c r="E8" s="392">
        <f>SUM(Y10:Y40)/1000</f>
        <v>475677</v>
      </c>
      <c r="F8" s="83">
        <v>450684</v>
      </c>
      <c r="G8" s="396">
        <f>E8-F8</f>
        <v>24993</v>
      </c>
      <c r="H8" s="815" t="s">
        <v>696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683">
        <f>475677000-450684000</f>
        <v>24993000</v>
      </c>
      <c r="Y8" s="135"/>
      <c r="Z8" s="135"/>
      <c r="AA8" s="10"/>
      <c r="AB8" s="10"/>
      <c r="AC8" s="10"/>
      <c r="AD8" s="10">
        <v>233455000</v>
      </c>
      <c r="AE8" s="14"/>
    </row>
    <row r="9" spans="1:31" ht="17.25" customHeight="1">
      <c r="A9" s="63"/>
      <c r="B9" s="507"/>
      <c r="C9" s="784"/>
      <c r="D9" s="336"/>
      <c r="E9" s="393"/>
      <c r="F9" s="85"/>
      <c r="G9" s="396"/>
      <c r="H9" s="671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704"/>
      <c r="Y9" s="167"/>
      <c r="Z9" s="167"/>
      <c r="AA9" s="12"/>
      <c r="AB9" s="12"/>
      <c r="AC9" s="12"/>
      <c r="AD9" s="12"/>
      <c r="AE9" s="241"/>
    </row>
    <row r="10" spans="1:31" ht="17.25" customHeight="1">
      <c r="A10" s="63"/>
      <c r="B10" s="507"/>
      <c r="C10" s="784"/>
      <c r="D10" s="336"/>
      <c r="E10" s="393"/>
      <c r="F10" s="85"/>
      <c r="G10" s="396"/>
      <c r="H10" s="812" t="s">
        <v>575</v>
      </c>
      <c r="I10" s="946" t="s">
        <v>693</v>
      </c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795" t="s">
        <v>4</v>
      </c>
      <c r="X10" s="705"/>
      <c r="Y10" s="236">
        <v>26856000</v>
      </c>
      <c r="Z10" s="126">
        <v>24957000</v>
      </c>
      <c r="AA10" s="12"/>
      <c r="AB10" s="12"/>
      <c r="AC10" s="12"/>
      <c r="AD10" s="12"/>
      <c r="AE10" s="241"/>
    </row>
    <row r="11" spans="1:31" ht="12" customHeight="1">
      <c r="A11" s="63"/>
      <c r="B11" s="507"/>
      <c r="C11" s="784"/>
      <c r="D11" s="336"/>
      <c r="E11" s="393"/>
      <c r="F11" s="85"/>
      <c r="G11" s="766"/>
      <c r="H11" s="812"/>
      <c r="I11" s="80" t="s">
        <v>694</v>
      </c>
      <c r="J11" s="795"/>
      <c r="K11" s="506"/>
      <c r="L11" s="506"/>
      <c r="M11" s="972"/>
      <c r="N11" s="972"/>
      <c r="O11" s="795"/>
      <c r="P11" s="331"/>
      <c r="Q11" s="972"/>
      <c r="R11" s="972"/>
      <c r="S11" s="737"/>
      <c r="T11" s="795"/>
      <c r="U11" s="769"/>
      <c r="V11" s="81"/>
      <c r="W11" s="795" t="s">
        <v>4</v>
      </c>
      <c r="X11" s="705"/>
      <c r="Y11" s="236">
        <v>9264000</v>
      </c>
      <c r="Z11" s="126">
        <v>8610000</v>
      </c>
      <c r="AA11" s="12"/>
      <c r="AB11" s="12"/>
      <c r="AC11" s="12"/>
      <c r="AD11" s="12"/>
      <c r="AE11" s="241"/>
    </row>
    <row r="12" spans="1:31" ht="12" customHeight="1">
      <c r="A12" s="63"/>
      <c r="B12" s="507"/>
      <c r="C12" s="784"/>
      <c r="D12" s="336"/>
      <c r="E12" s="393"/>
      <c r="F12" s="85"/>
      <c r="G12" s="766"/>
      <c r="H12" s="971" t="s">
        <v>576</v>
      </c>
      <c r="I12" s="80" t="s">
        <v>695</v>
      </c>
      <c r="J12" s="795"/>
      <c r="K12" s="506"/>
      <c r="L12" s="506"/>
      <c r="M12" s="972"/>
      <c r="N12" s="972"/>
      <c r="O12" s="795"/>
      <c r="P12" s="331"/>
      <c r="Q12" s="972"/>
      <c r="R12" s="972"/>
      <c r="S12" s="737"/>
      <c r="T12" s="795"/>
      <c r="U12" s="769"/>
      <c r="V12" s="81"/>
      <c r="W12" s="795" t="s">
        <v>4</v>
      </c>
      <c r="X12" s="705"/>
      <c r="Y12" s="236">
        <v>9228000</v>
      </c>
      <c r="Z12" s="126">
        <v>8568000</v>
      </c>
      <c r="AA12" s="12"/>
      <c r="AB12" s="12"/>
      <c r="AC12" s="12"/>
      <c r="AD12" s="12"/>
      <c r="AE12" s="241"/>
    </row>
    <row r="13" spans="1:31" ht="12" customHeight="1">
      <c r="A13" s="63"/>
      <c r="B13" s="507"/>
      <c r="C13" s="784"/>
      <c r="D13" s="336"/>
      <c r="E13" s="393"/>
      <c r="F13" s="85"/>
      <c r="G13" s="766"/>
      <c r="H13" s="971"/>
      <c r="I13" s="80"/>
      <c r="J13" s="795"/>
      <c r="K13" s="506"/>
      <c r="L13" s="506"/>
      <c r="M13" s="972"/>
      <c r="N13" s="972"/>
      <c r="O13" s="795"/>
      <c r="P13" s="331"/>
      <c r="Q13" s="972"/>
      <c r="R13" s="972"/>
      <c r="S13" s="737"/>
      <c r="T13" s="795"/>
      <c r="U13" s="769"/>
      <c r="V13" s="81"/>
      <c r="W13" s="795" t="s">
        <v>4</v>
      </c>
      <c r="X13" s="705"/>
      <c r="Y13" s="236">
        <v>28242000</v>
      </c>
      <c r="Z13" s="126">
        <v>26217000</v>
      </c>
      <c r="AA13" s="12"/>
      <c r="AB13" s="12"/>
      <c r="AC13" s="12"/>
      <c r="AD13" s="12"/>
      <c r="AE13" s="241"/>
    </row>
    <row r="14" spans="1:31" ht="12" customHeight="1">
      <c r="A14" s="63"/>
      <c r="B14" s="507"/>
      <c r="C14" s="784"/>
      <c r="D14" s="336"/>
      <c r="E14" s="393"/>
      <c r="F14" s="85"/>
      <c r="G14" s="766"/>
      <c r="H14" s="971" t="s">
        <v>577</v>
      </c>
      <c r="I14" s="80"/>
      <c r="J14" s="795"/>
      <c r="K14" s="506"/>
      <c r="L14" s="506"/>
      <c r="M14" s="972"/>
      <c r="N14" s="972"/>
      <c r="O14" s="795"/>
      <c r="P14" s="331"/>
      <c r="Q14" s="972"/>
      <c r="R14" s="972"/>
      <c r="S14" s="737"/>
      <c r="T14" s="795"/>
      <c r="U14" s="769"/>
      <c r="V14" s="81"/>
      <c r="W14" s="795" t="s">
        <v>4</v>
      </c>
      <c r="X14" s="705"/>
      <c r="Y14" s="236">
        <v>20340000</v>
      </c>
      <c r="Z14" s="126">
        <v>18891000</v>
      </c>
      <c r="AA14" s="12"/>
      <c r="AB14" s="12"/>
      <c r="AC14" s="12"/>
      <c r="AD14" s="12"/>
      <c r="AE14" s="241"/>
    </row>
    <row r="15" spans="1:31" ht="12" customHeight="1">
      <c r="A15" s="63"/>
      <c r="B15" s="507"/>
      <c r="C15" s="784"/>
      <c r="D15" s="336"/>
      <c r="E15" s="393"/>
      <c r="F15" s="85"/>
      <c r="G15" s="766"/>
      <c r="H15" s="971"/>
      <c r="I15" s="80"/>
      <c r="J15" s="795"/>
      <c r="K15" s="506"/>
      <c r="L15" s="506"/>
      <c r="M15" s="972"/>
      <c r="N15" s="972"/>
      <c r="O15" s="795"/>
      <c r="P15" s="331"/>
      <c r="Q15" s="972"/>
      <c r="R15" s="972"/>
      <c r="S15" s="737"/>
      <c r="T15" s="795"/>
      <c r="U15" s="769"/>
      <c r="V15" s="81"/>
      <c r="W15" s="795" t="s">
        <v>4</v>
      </c>
      <c r="X15" s="705"/>
      <c r="Y15" s="236">
        <v>7056000</v>
      </c>
      <c r="Z15" s="126">
        <v>6555000</v>
      </c>
      <c r="AA15" s="12"/>
      <c r="AB15" s="15">
        <v>354500</v>
      </c>
      <c r="AC15" s="12"/>
      <c r="AD15" s="12"/>
      <c r="AE15" s="241"/>
    </row>
    <row r="16" spans="1:31" ht="12" customHeight="1">
      <c r="A16" s="63"/>
      <c r="B16" s="507"/>
      <c r="C16" s="784"/>
      <c r="D16" s="336"/>
      <c r="E16" s="393"/>
      <c r="F16" s="85"/>
      <c r="G16" s="766"/>
      <c r="H16" s="971" t="s">
        <v>578</v>
      </c>
      <c r="I16" s="762"/>
      <c r="J16" s="795"/>
      <c r="K16" s="506"/>
      <c r="L16" s="506"/>
      <c r="M16" s="972"/>
      <c r="N16" s="972"/>
      <c r="O16" s="795"/>
      <c r="P16" s="331"/>
      <c r="Q16" s="972"/>
      <c r="R16" s="972"/>
      <c r="S16" s="737"/>
      <c r="T16" s="795"/>
      <c r="U16" s="769"/>
      <c r="V16" s="81"/>
      <c r="W16" s="795" t="s">
        <v>4</v>
      </c>
      <c r="X16" s="705"/>
      <c r="Y16" s="236">
        <v>10224000</v>
      </c>
      <c r="Z16" s="126">
        <v>10542000</v>
      </c>
      <c r="AA16" s="12"/>
      <c r="AB16" s="15">
        <f>E4-F4</f>
        <v>91140.41000000003</v>
      </c>
      <c r="AC16" s="12"/>
      <c r="AD16" s="12"/>
      <c r="AE16" s="241"/>
    </row>
    <row r="17" spans="1:31" ht="12" customHeight="1">
      <c r="A17" s="63"/>
      <c r="B17" s="507"/>
      <c r="C17" s="784"/>
      <c r="D17" s="336"/>
      <c r="E17" s="393"/>
      <c r="F17" s="85"/>
      <c r="G17" s="766"/>
      <c r="H17" s="971"/>
      <c r="I17" s="762"/>
      <c r="J17" s="795"/>
      <c r="K17" s="506"/>
      <c r="L17" s="506"/>
      <c r="M17" s="972"/>
      <c r="N17" s="972"/>
      <c r="O17" s="795"/>
      <c r="P17" s="331"/>
      <c r="Q17" s="972"/>
      <c r="R17" s="972"/>
      <c r="S17" s="737"/>
      <c r="T17" s="795"/>
      <c r="U17" s="769"/>
      <c r="V17" s="81"/>
      <c r="W17" s="795" t="s">
        <v>4</v>
      </c>
      <c r="X17" s="705"/>
      <c r="Y17" s="236">
        <v>10530000</v>
      </c>
      <c r="Z17" s="126">
        <v>11034000</v>
      </c>
      <c r="AA17" s="12"/>
      <c r="AB17" s="447">
        <f>AB15-AB16</f>
        <v>263359.58999999997</v>
      </c>
      <c r="AC17" s="12"/>
      <c r="AD17" s="12"/>
      <c r="AE17" s="241"/>
    </row>
    <row r="18" spans="1:31" ht="12" customHeight="1">
      <c r="A18" s="63"/>
      <c r="B18" s="507"/>
      <c r="C18" s="784"/>
      <c r="D18" s="336"/>
      <c r="E18" s="393"/>
      <c r="F18" s="85"/>
      <c r="G18" s="766"/>
      <c r="H18" s="771" t="s">
        <v>579</v>
      </c>
      <c r="I18" s="762"/>
      <c r="J18" s="795"/>
      <c r="K18" s="506"/>
      <c r="L18" s="506"/>
      <c r="M18" s="972"/>
      <c r="N18" s="972"/>
      <c r="O18" s="795"/>
      <c r="P18" s="331"/>
      <c r="Q18" s="972"/>
      <c r="R18" s="972"/>
      <c r="S18" s="737"/>
      <c r="T18" s="795"/>
      <c r="U18" s="769"/>
      <c r="V18" s="81"/>
      <c r="W18" s="795" t="s">
        <v>4</v>
      </c>
      <c r="X18" s="705"/>
      <c r="Y18" s="236">
        <v>25608000</v>
      </c>
      <c r="Z18" s="126">
        <v>24864000</v>
      </c>
      <c r="AA18" s="12"/>
      <c r="AB18" s="12"/>
      <c r="AC18" s="12"/>
      <c r="AD18" s="12"/>
      <c r="AE18" s="241"/>
    </row>
    <row r="19" spans="1:31" ht="12" customHeight="1">
      <c r="A19" s="63"/>
      <c r="B19" s="507"/>
      <c r="C19" s="784"/>
      <c r="D19" s="336"/>
      <c r="E19" s="393"/>
      <c r="F19" s="85"/>
      <c r="G19" s="766"/>
      <c r="H19" s="913" t="s">
        <v>578</v>
      </c>
      <c r="I19" s="762"/>
      <c r="J19" s="795"/>
      <c r="K19" s="506"/>
      <c r="L19" s="506"/>
      <c r="M19" s="972"/>
      <c r="N19" s="972"/>
      <c r="O19" s="795"/>
      <c r="P19" s="331"/>
      <c r="Q19" s="972"/>
      <c r="R19" s="972"/>
      <c r="S19" s="737"/>
      <c r="T19" s="795"/>
      <c r="U19" s="769"/>
      <c r="V19" s="81"/>
      <c r="W19" s="795" t="s">
        <v>4</v>
      </c>
      <c r="X19" s="705"/>
      <c r="Y19" s="236">
        <v>5112000</v>
      </c>
      <c r="Z19" s="126">
        <v>4872000</v>
      </c>
      <c r="AA19" s="12"/>
      <c r="AB19" s="12"/>
      <c r="AC19" s="12"/>
      <c r="AD19" s="12"/>
      <c r="AE19" s="241"/>
    </row>
    <row r="20" spans="1:31" ht="12" customHeight="1">
      <c r="A20" s="63"/>
      <c r="B20" s="507"/>
      <c r="C20" s="784"/>
      <c r="D20" s="336"/>
      <c r="E20" s="393"/>
      <c r="F20" s="85"/>
      <c r="G20" s="766"/>
      <c r="H20" s="913"/>
      <c r="I20" s="762"/>
      <c r="J20" s="795"/>
      <c r="K20" s="506"/>
      <c r="L20" s="506"/>
      <c r="M20" s="972"/>
      <c r="N20" s="972"/>
      <c r="O20" s="795"/>
      <c r="P20" s="331"/>
      <c r="Q20" s="972"/>
      <c r="R20" s="972"/>
      <c r="S20" s="737"/>
      <c r="T20" s="795"/>
      <c r="U20" s="769"/>
      <c r="V20" s="81"/>
      <c r="W20" s="795" t="s">
        <v>4</v>
      </c>
      <c r="X20" s="705"/>
      <c r="Y20" s="236">
        <v>15795000</v>
      </c>
      <c r="Z20" s="126">
        <v>15039000</v>
      </c>
      <c r="AA20" s="12"/>
      <c r="AB20" s="12"/>
      <c r="AC20" s="12"/>
      <c r="AD20" s="12"/>
      <c r="AE20" s="241"/>
    </row>
    <row r="21" spans="1:31" ht="12" customHeight="1">
      <c r="A21" s="63"/>
      <c r="B21" s="507"/>
      <c r="C21" s="784"/>
      <c r="D21" s="336"/>
      <c r="E21" s="393"/>
      <c r="F21" s="85"/>
      <c r="G21" s="766"/>
      <c r="H21" s="913" t="s">
        <v>578</v>
      </c>
      <c r="I21" s="762"/>
      <c r="J21" s="795"/>
      <c r="K21" s="506"/>
      <c r="L21" s="506"/>
      <c r="M21" s="972"/>
      <c r="N21" s="972"/>
      <c r="O21" s="795"/>
      <c r="P21" s="331"/>
      <c r="Q21" s="972"/>
      <c r="R21" s="972"/>
      <c r="S21" s="737"/>
      <c r="T21" s="795"/>
      <c r="U21" s="769"/>
      <c r="V21" s="81"/>
      <c r="W21" s="795" t="s">
        <v>4</v>
      </c>
      <c r="X21" s="705"/>
      <c r="Y21" s="236">
        <v>30672000</v>
      </c>
      <c r="Z21" s="126">
        <v>29232000</v>
      </c>
      <c r="AA21" s="12"/>
      <c r="AB21" s="12"/>
      <c r="AC21" s="12"/>
      <c r="AD21" s="12"/>
      <c r="AE21" s="241"/>
    </row>
    <row r="22" spans="1:31" ht="12" customHeight="1">
      <c r="A22" s="63"/>
      <c r="B22" s="507"/>
      <c r="C22" s="784"/>
      <c r="D22" s="336"/>
      <c r="E22" s="393"/>
      <c r="F22" s="85"/>
      <c r="G22" s="766"/>
      <c r="H22" s="913"/>
      <c r="I22" s="762"/>
      <c r="J22" s="795"/>
      <c r="K22" s="506"/>
      <c r="L22" s="506"/>
      <c r="M22" s="972"/>
      <c r="N22" s="972"/>
      <c r="O22" s="795"/>
      <c r="P22" s="331"/>
      <c r="Q22" s="972"/>
      <c r="R22" s="972"/>
      <c r="S22" s="737"/>
      <c r="T22" s="795"/>
      <c r="U22" s="769"/>
      <c r="V22" s="81"/>
      <c r="W22" s="795" t="s">
        <v>4</v>
      </c>
      <c r="X22" s="705"/>
      <c r="Y22" s="236">
        <v>10530000</v>
      </c>
      <c r="Z22" s="126">
        <v>10026000</v>
      </c>
      <c r="AA22" s="12"/>
      <c r="AB22" s="12"/>
      <c r="AC22" s="12"/>
      <c r="AD22" s="12"/>
      <c r="AE22" s="241"/>
    </row>
    <row r="23" spans="1:31" ht="12" customHeight="1">
      <c r="A23" s="63"/>
      <c r="B23" s="507"/>
      <c r="C23" s="784"/>
      <c r="D23" s="336"/>
      <c r="E23" s="393"/>
      <c r="F23" s="85"/>
      <c r="G23" s="766"/>
      <c r="H23" s="771" t="s">
        <v>580</v>
      </c>
      <c r="I23" s="762"/>
      <c r="J23" s="795"/>
      <c r="K23" s="506"/>
      <c r="L23" s="506"/>
      <c r="M23" s="972"/>
      <c r="N23" s="972"/>
      <c r="O23" s="795"/>
      <c r="P23" s="331"/>
      <c r="Q23" s="972"/>
      <c r="R23" s="972"/>
      <c r="S23" s="737"/>
      <c r="T23" s="795"/>
      <c r="U23" s="769"/>
      <c r="V23" s="769"/>
      <c r="W23" s="795" t="s">
        <v>4</v>
      </c>
      <c r="X23" s="705"/>
      <c r="Y23" s="236">
        <v>20448000</v>
      </c>
      <c r="Z23" s="126">
        <v>19488000</v>
      </c>
      <c r="AA23" s="12"/>
      <c r="AB23" s="12"/>
      <c r="AC23" s="12"/>
      <c r="AD23" s="12"/>
      <c r="AE23" s="17">
        <f aca="true" t="shared" si="0" ref="AE23">I27*K27*P27</f>
        <v>0</v>
      </c>
    </row>
    <row r="24" spans="1:31" ht="12" customHeight="1">
      <c r="A24" s="63"/>
      <c r="B24" s="507"/>
      <c r="C24" s="784"/>
      <c r="D24" s="336"/>
      <c r="E24" s="393"/>
      <c r="F24" s="85"/>
      <c r="G24" s="766"/>
      <c r="H24" s="913" t="s">
        <v>581</v>
      </c>
      <c r="I24" s="762"/>
      <c r="J24" s="795"/>
      <c r="K24" s="506"/>
      <c r="L24" s="506"/>
      <c r="M24" s="972"/>
      <c r="N24" s="972"/>
      <c r="O24" s="795"/>
      <c r="P24" s="331"/>
      <c r="Q24" s="972"/>
      <c r="R24" s="972"/>
      <c r="S24" s="737"/>
      <c r="T24" s="795"/>
      <c r="U24" s="769"/>
      <c r="V24" s="81"/>
      <c r="W24" s="795" t="s">
        <v>4</v>
      </c>
      <c r="X24" s="705"/>
      <c r="Y24" s="236">
        <v>47385000</v>
      </c>
      <c r="Z24" s="126">
        <v>45117000</v>
      </c>
      <c r="AA24" s="12"/>
      <c r="AB24" s="12"/>
      <c r="AC24" s="12"/>
      <c r="AD24" s="12"/>
      <c r="AE24" s="17"/>
    </row>
    <row r="25" spans="1:31" ht="12" customHeight="1">
      <c r="A25" s="63"/>
      <c r="B25" s="507"/>
      <c r="C25" s="784"/>
      <c r="D25" s="336"/>
      <c r="E25" s="393"/>
      <c r="F25" s="85"/>
      <c r="G25" s="766"/>
      <c r="H25" s="913"/>
      <c r="I25" s="762"/>
      <c r="J25" s="795"/>
      <c r="K25" s="506"/>
      <c r="L25" s="506"/>
      <c r="M25" s="972"/>
      <c r="N25" s="972"/>
      <c r="O25" s="795"/>
      <c r="P25" s="331"/>
      <c r="Q25" s="972"/>
      <c r="R25" s="972"/>
      <c r="S25" s="737"/>
      <c r="T25" s="795"/>
      <c r="U25" s="769"/>
      <c r="V25" s="81"/>
      <c r="W25" s="795" t="s">
        <v>4</v>
      </c>
      <c r="X25" s="705"/>
      <c r="Y25" s="236">
        <v>16740000</v>
      </c>
      <c r="Z25" s="126">
        <v>15948000</v>
      </c>
      <c r="AA25" s="12"/>
      <c r="AB25" s="12"/>
      <c r="AC25" s="12"/>
      <c r="AD25" s="12"/>
      <c r="AE25" s="17"/>
    </row>
    <row r="26" spans="1:31" ht="12" customHeight="1">
      <c r="A26" s="63"/>
      <c r="B26" s="507"/>
      <c r="C26" s="784"/>
      <c r="D26" s="336"/>
      <c r="E26" s="393"/>
      <c r="F26" s="85"/>
      <c r="G26" s="766"/>
      <c r="H26" s="913" t="s">
        <v>582</v>
      </c>
      <c r="I26" s="762"/>
      <c r="J26" s="795"/>
      <c r="K26" s="506"/>
      <c r="L26" s="506"/>
      <c r="M26" s="972"/>
      <c r="N26" s="972"/>
      <c r="O26" s="795"/>
      <c r="P26" s="331"/>
      <c r="Q26" s="972"/>
      <c r="R26" s="972"/>
      <c r="S26" s="737"/>
      <c r="T26" s="795"/>
      <c r="U26" s="769"/>
      <c r="V26" s="81"/>
      <c r="W26" s="795" t="s">
        <v>4</v>
      </c>
      <c r="X26" s="705"/>
      <c r="Y26" s="236">
        <v>4662000</v>
      </c>
      <c r="Z26" s="126">
        <v>4452000</v>
      </c>
      <c r="AA26" s="12"/>
      <c r="AB26" s="12"/>
      <c r="AC26" s="12"/>
      <c r="AD26" s="12"/>
      <c r="AE26" s="17"/>
    </row>
    <row r="27" spans="1:31" ht="12" customHeight="1">
      <c r="A27" s="63"/>
      <c r="B27" s="507"/>
      <c r="C27" s="784"/>
      <c r="D27" s="336"/>
      <c r="E27" s="393"/>
      <c r="F27" s="85"/>
      <c r="G27" s="766"/>
      <c r="H27" s="913"/>
      <c r="I27" s="762"/>
      <c r="J27" s="795"/>
      <c r="K27" s="506"/>
      <c r="L27" s="506"/>
      <c r="M27" s="972"/>
      <c r="N27" s="972"/>
      <c r="O27" s="795"/>
      <c r="P27" s="331"/>
      <c r="Q27" s="972"/>
      <c r="R27" s="972"/>
      <c r="S27" s="737"/>
      <c r="T27" s="795"/>
      <c r="U27" s="769"/>
      <c r="V27" s="81"/>
      <c r="W27" s="795" t="s">
        <v>4</v>
      </c>
      <c r="X27" s="705"/>
      <c r="Y27" s="236">
        <v>14418000</v>
      </c>
      <c r="Z27" s="126">
        <v>13761000</v>
      </c>
      <c r="AA27" s="12"/>
      <c r="AB27" s="12"/>
      <c r="AC27" s="12"/>
      <c r="AD27" s="12"/>
      <c r="AE27" s="17"/>
    </row>
    <row r="28" spans="1:31" ht="12" customHeight="1">
      <c r="A28" s="63"/>
      <c r="B28" s="507"/>
      <c r="C28" s="784"/>
      <c r="D28" s="336"/>
      <c r="E28" s="393"/>
      <c r="F28" s="85"/>
      <c r="G28" s="766"/>
      <c r="H28" s="771" t="s">
        <v>583</v>
      </c>
      <c r="I28" s="762"/>
      <c r="J28" s="795"/>
      <c r="K28" s="506"/>
      <c r="L28" s="506"/>
      <c r="M28" s="972"/>
      <c r="N28" s="972"/>
      <c r="O28" s="795"/>
      <c r="P28" s="331"/>
      <c r="Q28" s="972"/>
      <c r="R28" s="972"/>
      <c r="S28" s="737"/>
      <c r="T28" s="795"/>
      <c r="U28" s="769"/>
      <c r="V28" s="769"/>
      <c r="W28" s="795" t="s">
        <v>4</v>
      </c>
      <c r="X28" s="705"/>
      <c r="Y28" s="236">
        <v>21060000</v>
      </c>
      <c r="Z28" s="126">
        <v>18912000</v>
      </c>
      <c r="AA28" s="12"/>
      <c r="AB28" s="12"/>
      <c r="AC28" s="12"/>
      <c r="AD28" s="12"/>
      <c r="AE28" s="17"/>
    </row>
    <row r="29" spans="1:31" ht="14.25" customHeight="1">
      <c r="A29" s="63"/>
      <c r="B29" s="507"/>
      <c r="C29" s="784"/>
      <c r="D29" s="336"/>
      <c r="E29" s="393"/>
      <c r="F29" s="85"/>
      <c r="G29" s="766"/>
      <c r="H29" s="771" t="s">
        <v>584</v>
      </c>
      <c r="I29" s="762"/>
      <c r="J29" s="795"/>
      <c r="K29" s="506"/>
      <c r="L29" s="506"/>
      <c r="M29" s="972"/>
      <c r="N29" s="972"/>
      <c r="O29" s="795"/>
      <c r="P29" s="331"/>
      <c r="Q29" s="972"/>
      <c r="R29" s="972"/>
      <c r="S29" s="737"/>
      <c r="T29" s="795"/>
      <c r="U29" s="769"/>
      <c r="V29" s="769"/>
      <c r="W29" s="795" t="s">
        <v>4</v>
      </c>
      <c r="X29" s="705"/>
      <c r="Y29" s="236">
        <v>23736000</v>
      </c>
      <c r="Z29" s="126">
        <v>22068000</v>
      </c>
      <c r="AA29" s="18"/>
      <c r="AB29" s="18"/>
      <c r="AC29" s="18"/>
      <c r="AD29" s="18"/>
      <c r="AE29" s="17" t="e">
        <f>#REF!*#REF!*#REF!</f>
        <v>#REF!</v>
      </c>
    </row>
    <row r="30" spans="1:26" ht="12" customHeight="1">
      <c r="A30" s="63"/>
      <c r="B30" s="507"/>
      <c r="C30" s="784"/>
      <c r="D30" s="336"/>
      <c r="E30" s="393"/>
      <c r="F30" s="85"/>
      <c r="G30" s="766"/>
      <c r="H30" s="913" t="s">
        <v>585</v>
      </c>
      <c r="I30" s="762"/>
      <c r="J30" s="795"/>
      <c r="K30" s="506"/>
      <c r="L30" s="506"/>
      <c r="M30" s="972"/>
      <c r="N30" s="972"/>
      <c r="O30" s="795"/>
      <c r="P30" s="331"/>
      <c r="Q30" s="972"/>
      <c r="R30" s="972"/>
      <c r="S30" s="737"/>
      <c r="T30" s="795"/>
      <c r="U30" s="769"/>
      <c r="V30" s="81"/>
      <c r="W30" s="795" t="s">
        <v>4</v>
      </c>
      <c r="X30" s="705"/>
      <c r="Y30" s="236">
        <v>4245000</v>
      </c>
      <c r="Z30" s="126">
        <v>4050000</v>
      </c>
    </row>
    <row r="31" spans="1:26" ht="12" customHeight="1">
      <c r="A31" s="63"/>
      <c r="B31" s="507"/>
      <c r="C31" s="784"/>
      <c r="D31" s="336"/>
      <c r="E31" s="393"/>
      <c r="F31" s="85"/>
      <c r="G31" s="766"/>
      <c r="H31" s="913"/>
      <c r="I31" s="762"/>
      <c r="J31" s="795"/>
      <c r="K31" s="506"/>
      <c r="L31" s="506"/>
      <c r="M31" s="972"/>
      <c r="N31" s="972"/>
      <c r="O31" s="795"/>
      <c r="P31" s="331"/>
      <c r="Q31" s="972"/>
      <c r="R31" s="972"/>
      <c r="S31" s="737"/>
      <c r="T31" s="795"/>
      <c r="U31" s="769"/>
      <c r="V31" s="81"/>
      <c r="W31" s="795" t="s">
        <v>4</v>
      </c>
      <c r="X31" s="705"/>
      <c r="Y31" s="236">
        <v>13185000</v>
      </c>
      <c r="Z31" s="126">
        <v>12573000</v>
      </c>
    </row>
    <row r="32" spans="1:26" ht="12" customHeight="1">
      <c r="A32" s="63"/>
      <c r="B32" s="507"/>
      <c r="C32" s="784"/>
      <c r="D32" s="336"/>
      <c r="E32" s="393"/>
      <c r="F32" s="85"/>
      <c r="G32" s="766"/>
      <c r="H32" s="913" t="s">
        <v>585</v>
      </c>
      <c r="I32" s="762"/>
      <c r="J32" s="795"/>
      <c r="K32" s="506"/>
      <c r="L32" s="506"/>
      <c r="M32" s="972"/>
      <c r="N32" s="972"/>
      <c r="O32" s="795"/>
      <c r="P32" s="331"/>
      <c r="Q32" s="972"/>
      <c r="R32" s="972"/>
      <c r="S32" s="737"/>
      <c r="T32" s="795"/>
      <c r="U32" s="769"/>
      <c r="V32" s="81"/>
      <c r="W32" s="795" t="s">
        <v>4</v>
      </c>
      <c r="X32" s="705"/>
      <c r="Y32" s="236">
        <v>12735000</v>
      </c>
      <c r="Z32" s="126">
        <v>12150000</v>
      </c>
    </row>
    <row r="33" spans="1:26" ht="12" customHeight="1">
      <c r="A33" s="63"/>
      <c r="B33" s="507"/>
      <c r="C33" s="784"/>
      <c r="D33" s="336"/>
      <c r="E33" s="393"/>
      <c r="F33" s="85"/>
      <c r="G33" s="766"/>
      <c r="H33" s="913"/>
      <c r="I33" s="762"/>
      <c r="J33" s="795"/>
      <c r="K33" s="506"/>
      <c r="L33" s="506"/>
      <c r="M33" s="972"/>
      <c r="N33" s="972"/>
      <c r="O33" s="795"/>
      <c r="P33" s="331"/>
      <c r="Q33" s="972"/>
      <c r="R33" s="972"/>
      <c r="S33" s="737"/>
      <c r="T33" s="795"/>
      <c r="U33" s="769"/>
      <c r="V33" s="81"/>
      <c r="W33" s="795" t="s">
        <v>4</v>
      </c>
      <c r="X33" s="705"/>
      <c r="Y33" s="236">
        <v>4395000</v>
      </c>
      <c r="Z33" s="126">
        <v>4191000</v>
      </c>
    </row>
    <row r="34" spans="1:26" ht="12" customHeight="1">
      <c r="A34" s="63"/>
      <c r="B34" s="507"/>
      <c r="C34" s="784"/>
      <c r="D34" s="336"/>
      <c r="E34" s="393"/>
      <c r="F34" s="85"/>
      <c r="G34" s="766"/>
      <c r="H34" s="913" t="s">
        <v>586</v>
      </c>
      <c r="I34" s="762"/>
      <c r="J34" s="795"/>
      <c r="K34" s="506"/>
      <c r="L34" s="506"/>
      <c r="M34" s="972"/>
      <c r="N34" s="972"/>
      <c r="O34" s="795"/>
      <c r="P34" s="331"/>
      <c r="Q34" s="972"/>
      <c r="R34" s="972"/>
      <c r="S34" s="737"/>
      <c r="T34" s="795"/>
      <c r="U34" s="769"/>
      <c r="V34" s="769"/>
      <c r="W34" s="795" t="s">
        <v>4</v>
      </c>
      <c r="X34" s="705"/>
      <c r="Y34" s="236">
        <v>14103000</v>
      </c>
      <c r="Z34" s="126">
        <v>13437000</v>
      </c>
    </row>
    <row r="35" spans="1:26" ht="12" customHeight="1">
      <c r="A35" s="63"/>
      <c r="B35" s="507"/>
      <c r="C35" s="784"/>
      <c r="D35" s="336"/>
      <c r="E35" s="393"/>
      <c r="F35" s="85"/>
      <c r="G35" s="766"/>
      <c r="H35" s="913"/>
      <c r="I35" s="762"/>
      <c r="J35" s="795"/>
      <c r="K35" s="506"/>
      <c r="L35" s="506"/>
      <c r="M35" s="972"/>
      <c r="N35" s="972"/>
      <c r="O35" s="795"/>
      <c r="P35" s="331"/>
      <c r="Q35" s="972"/>
      <c r="R35" s="972"/>
      <c r="S35" s="737"/>
      <c r="T35" s="795"/>
      <c r="U35" s="769"/>
      <c r="V35" s="769"/>
      <c r="W35" s="795" t="s">
        <v>4</v>
      </c>
      <c r="X35" s="705"/>
      <c r="Y35" s="236">
        <v>4992000</v>
      </c>
      <c r="Z35" s="126">
        <v>4605000</v>
      </c>
    </row>
    <row r="36" spans="1:26" ht="12" customHeight="1">
      <c r="A36" s="63"/>
      <c r="B36" s="507"/>
      <c r="C36" s="784"/>
      <c r="D36" s="336"/>
      <c r="E36" s="393"/>
      <c r="F36" s="85"/>
      <c r="G36" s="766"/>
      <c r="H36" s="913" t="s">
        <v>587</v>
      </c>
      <c r="I36" s="762"/>
      <c r="J36" s="795"/>
      <c r="K36" s="506"/>
      <c r="L36" s="506"/>
      <c r="M36" s="972"/>
      <c r="N36" s="972"/>
      <c r="O36" s="795"/>
      <c r="P36" s="331"/>
      <c r="Q36" s="972"/>
      <c r="R36" s="972"/>
      <c r="S36" s="737"/>
      <c r="T36" s="795"/>
      <c r="U36" s="769"/>
      <c r="V36" s="769"/>
      <c r="W36" s="795" t="s">
        <v>4</v>
      </c>
      <c r="X36" s="705"/>
      <c r="Y36" s="236">
        <v>9990000</v>
      </c>
      <c r="Z36" s="126">
        <v>9510000</v>
      </c>
    </row>
    <row r="37" spans="1:26" ht="12" customHeight="1">
      <c r="A37" s="63"/>
      <c r="B37" s="507"/>
      <c r="C37" s="784"/>
      <c r="D37" s="336"/>
      <c r="E37" s="393"/>
      <c r="F37" s="85"/>
      <c r="G37" s="766"/>
      <c r="H37" s="913"/>
      <c r="I37" s="762"/>
      <c r="J37" s="795"/>
      <c r="K37" s="506"/>
      <c r="L37" s="506"/>
      <c r="M37" s="972"/>
      <c r="N37" s="972"/>
      <c r="O37" s="795"/>
      <c r="P37" s="331"/>
      <c r="Q37" s="972"/>
      <c r="R37" s="972"/>
      <c r="S37" s="737"/>
      <c r="T37" s="795"/>
      <c r="U37" s="769"/>
      <c r="V37" s="769"/>
      <c r="W37" s="795" t="s">
        <v>4</v>
      </c>
      <c r="X37" s="705"/>
      <c r="Y37" s="236">
        <v>10338000</v>
      </c>
      <c r="Z37" s="126">
        <v>9834000</v>
      </c>
    </row>
    <row r="38" spans="1:26" ht="12" customHeight="1">
      <c r="A38" s="63"/>
      <c r="B38" s="507"/>
      <c r="C38" s="784"/>
      <c r="D38" s="336"/>
      <c r="E38" s="393"/>
      <c r="F38" s="85"/>
      <c r="G38" s="766"/>
      <c r="H38" s="913" t="s">
        <v>588</v>
      </c>
      <c r="I38" s="762"/>
      <c r="J38" s="795"/>
      <c r="K38" s="506"/>
      <c r="L38" s="506"/>
      <c r="M38" s="972"/>
      <c r="N38" s="972"/>
      <c r="O38" s="795"/>
      <c r="P38" s="331"/>
      <c r="Q38" s="972"/>
      <c r="R38" s="972"/>
      <c r="S38" s="737"/>
      <c r="T38" s="795"/>
      <c r="U38" s="769"/>
      <c r="V38" s="769"/>
      <c r="W38" s="795" t="s">
        <v>4</v>
      </c>
      <c r="X38" s="705"/>
      <c r="Y38" s="236">
        <v>5934000</v>
      </c>
      <c r="Z38" s="126">
        <v>5517000</v>
      </c>
    </row>
    <row r="39" spans="1:26" ht="12" customHeight="1">
      <c r="A39" s="63"/>
      <c r="B39" s="507"/>
      <c r="C39" s="784"/>
      <c r="D39" s="336"/>
      <c r="E39" s="393"/>
      <c r="F39" s="85"/>
      <c r="G39" s="766"/>
      <c r="H39" s="913"/>
      <c r="I39" s="762"/>
      <c r="J39" s="795"/>
      <c r="K39" s="506"/>
      <c r="L39" s="506"/>
      <c r="M39" s="972"/>
      <c r="N39" s="972"/>
      <c r="O39" s="795"/>
      <c r="P39" s="331"/>
      <c r="Q39" s="972"/>
      <c r="R39" s="972"/>
      <c r="S39" s="737"/>
      <c r="T39" s="795"/>
      <c r="U39" s="769"/>
      <c r="V39" s="769"/>
      <c r="W39" s="795" t="s">
        <v>4</v>
      </c>
      <c r="X39" s="705"/>
      <c r="Y39" s="236">
        <v>18630000</v>
      </c>
      <c r="Z39" s="126">
        <v>17316000</v>
      </c>
    </row>
    <row r="40" spans="1:32" ht="15" customHeight="1">
      <c r="A40" s="63"/>
      <c r="B40" s="507"/>
      <c r="C40" s="784"/>
      <c r="D40" s="336"/>
      <c r="E40" s="393"/>
      <c r="F40" s="90"/>
      <c r="G40" s="766"/>
      <c r="H40" s="771" t="s">
        <v>589</v>
      </c>
      <c r="I40" s="762"/>
      <c r="J40" s="795"/>
      <c r="K40" s="330"/>
      <c r="L40" s="330"/>
      <c r="M40" s="972"/>
      <c r="N40" s="972"/>
      <c r="O40" s="795"/>
      <c r="P40" s="508"/>
      <c r="Q40" s="972"/>
      <c r="R40" s="972"/>
      <c r="S40" s="738"/>
      <c r="T40" s="795"/>
      <c r="U40" s="769"/>
      <c r="V40" s="769"/>
      <c r="W40" s="795" t="s">
        <v>4</v>
      </c>
      <c r="X40" s="705"/>
      <c r="Y40" s="236">
        <v>19224000</v>
      </c>
      <c r="Z40" s="126">
        <v>18348000</v>
      </c>
      <c r="AA40" s="19">
        <f>I51*K51*N51*Q51/S51*U51</f>
        <v>0</v>
      </c>
      <c r="AB40" s="13">
        <v>2845550</v>
      </c>
      <c r="AC40" s="17">
        <f aca="true" t="shared" si="1" ref="AC40:AC55">AA40-AB40</f>
        <v>-2845550</v>
      </c>
      <c r="AD40" s="136">
        <v>22531500</v>
      </c>
      <c r="AE40" s="17"/>
      <c r="AF40" s="13"/>
    </row>
    <row r="41" spans="1:32" ht="18" customHeight="1">
      <c r="A41" s="63"/>
      <c r="B41" s="507"/>
      <c r="C41" s="925" t="s">
        <v>79</v>
      </c>
      <c r="D41" s="337"/>
      <c r="E41" s="136">
        <f>E42</f>
        <v>46928.4</v>
      </c>
      <c r="F41" s="77">
        <v>37654</v>
      </c>
      <c r="G41" s="395">
        <f>E41-F41</f>
        <v>9274.400000000001</v>
      </c>
      <c r="H41" s="242"/>
      <c r="I41" s="159"/>
      <c r="J41" s="160"/>
      <c r="K41" s="117"/>
      <c r="L41" s="117"/>
      <c r="M41" s="160"/>
      <c r="N41" s="160"/>
      <c r="O41" s="160"/>
      <c r="P41" s="161"/>
      <c r="Q41" s="161"/>
      <c r="R41" s="160"/>
      <c r="S41" s="160"/>
      <c r="T41" s="160"/>
      <c r="U41" s="758"/>
      <c r="V41" s="758"/>
      <c r="W41" s="72"/>
      <c r="X41" s="124"/>
      <c r="Y41" s="236"/>
      <c r="Z41" s="236"/>
      <c r="AA41" s="19">
        <f>I52*K52*N52*Q52/S52*U52</f>
        <v>0</v>
      </c>
      <c r="AB41" s="13">
        <v>2938560</v>
      </c>
      <c r="AC41" s="17">
        <f t="shared" si="1"/>
        <v>-2938560</v>
      </c>
      <c r="AD41" s="83">
        <v>22531500</v>
      </c>
      <c r="AE41" s="17"/>
      <c r="AF41" s="13"/>
    </row>
    <row r="42" spans="1:32" ht="18.75" customHeight="1">
      <c r="A42" s="63"/>
      <c r="B42" s="507"/>
      <c r="C42" s="926"/>
      <c r="D42" s="974" t="s">
        <v>80</v>
      </c>
      <c r="E42" s="83">
        <f>SUM(Z42)/1000</f>
        <v>46928.4</v>
      </c>
      <c r="F42" s="91">
        <v>37654</v>
      </c>
      <c r="G42" s="397">
        <f>E42-F42</f>
        <v>9274.400000000001</v>
      </c>
      <c r="H42" s="929" t="s">
        <v>698</v>
      </c>
      <c r="I42" s="876"/>
      <c r="J42" s="876"/>
      <c r="K42" s="876"/>
      <c r="L42" s="876"/>
      <c r="M42" s="876"/>
      <c r="N42" s="876"/>
      <c r="O42" s="876"/>
      <c r="P42" s="876"/>
      <c r="Q42" s="876"/>
      <c r="R42" s="876"/>
      <c r="S42" s="876"/>
      <c r="T42" s="876"/>
      <c r="U42" s="876"/>
      <c r="V42" s="876"/>
      <c r="W42" s="779"/>
      <c r="X42" s="118">
        <f>46928400-37654000</f>
        <v>9274400</v>
      </c>
      <c r="Y42" s="118">
        <v>18555500</v>
      </c>
      <c r="Z42" s="80">
        <v>46928400</v>
      </c>
      <c r="AA42" s="19">
        <f>I53*K53*N53*Q53/S53*U53</f>
        <v>0</v>
      </c>
      <c r="AB42" s="13">
        <v>7709850</v>
      </c>
      <c r="AC42" s="17">
        <f t="shared" si="1"/>
        <v>-7709850</v>
      </c>
      <c r="AD42" s="85"/>
      <c r="AE42" s="17"/>
      <c r="AF42" s="13"/>
    </row>
    <row r="43" spans="1:32" ht="15.75" customHeight="1" thickBot="1">
      <c r="A43" s="115"/>
      <c r="B43" s="784"/>
      <c r="C43" s="66"/>
      <c r="D43" s="975"/>
      <c r="E43" s="90"/>
      <c r="F43" s="67"/>
      <c r="G43" s="66"/>
      <c r="H43" s="577"/>
      <c r="I43" s="129"/>
      <c r="J43" s="918"/>
      <c r="K43" s="918"/>
      <c r="L43" s="918"/>
      <c r="M43" s="918"/>
      <c r="N43" s="918"/>
      <c r="O43" s="774"/>
      <c r="P43" s="973"/>
      <c r="Q43" s="973"/>
      <c r="R43" s="640"/>
      <c r="S43" s="640"/>
      <c r="T43" s="640"/>
      <c r="U43" s="640"/>
      <c r="V43" s="640"/>
      <c r="W43" s="780"/>
      <c r="X43" s="119"/>
      <c r="Y43" s="141">
        <v>19098500</v>
      </c>
      <c r="Z43" s="80"/>
      <c r="AA43" s="19">
        <f aca="true" t="shared" si="2" ref="AA43:AA48">I55*K55*N55*Q55/S55*U55</f>
        <v>0</v>
      </c>
      <c r="AB43" s="13">
        <v>8918340</v>
      </c>
      <c r="AC43" s="17">
        <f t="shared" si="1"/>
        <v>-8918340</v>
      </c>
      <c r="AD43" s="136">
        <v>0</v>
      </c>
      <c r="AE43" s="17"/>
      <c r="AF43" s="13"/>
    </row>
    <row r="44" spans="1:32" ht="15.75" customHeight="1">
      <c r="A44" s="359"/>
      <c r="B44" s="167"/>
      <c r="C44" s="784" t="s">
        <v>81</v>
      </c>
      <c r="D44" s="341"/>
      <c r="E44" s="90">
        <f>E45</f>
        <v>0</v>
      </c>
      <c r="F44" s="90">
        <v>0</v>
      </c>
      <c r="G44" s="66"/>
      <c r="H44" s="86"/>
      <c r="I44" s="754"/>
      <c r="J44" s="774"/>
      <c r="K44" s="770"/>
      <c r="L44" s="770"/>
      <c r="M44" s="774"/>
      <c r="N44" s="774"/>
      <c r="O44" s="774"/>
      <c r="P44" s="61"/>
      <c r="Q44" s="61"/>
      <c r="R44" s="640"/>
      <c r="S44" s="640"/>
      <c r="T44" s="640"/>
      <c r="U44" s="640"/>
      <c r="V44" s="640"/>
      <c r="W44" s="780"/>
      <c r="X44" s="119"/>
      <c r="Y44" s="80"/>
      <c r="Z44" s="80"/>
      <c r="AA44" s="19">
        <f t="shared" si="2"/>
        <v>0</v>
      </c>
      <c r="AB44" s="13">
        <v>2113830</v>
      </c>
      <c r="AC44" s="17">
        <f t="shared" si="1"/>
        <v>-2113830</v>
      </c>
      <c r="AD44" s="83"/>
      <c r="AE44" s="17"/>
      <c r="AF44" s="13"/>
    </row>
    <row r="45" spans="1:32" ht="15.75" customHeight="1">
      <c r="A45" s="63"/>
      <c r="B45" s="507"/>
      <c r="C45" s="784"/>
      <c r="D45" s="338" t="s">
        <v>533</v>
      </c>
      <c r="E45" s="83">
        <v>0</v>
      </c>
      <c r="F45" s="91">
        <v>0</v>
      </c>
      <c r="G45" s="399">
        <f>E45-F45</f>
        <v>0</v>
      </c>
      <c r="H45" s="906" t="s">
        <v>534</v>
      </c>
      <c r="I45" s="907"/>
      <c r="J45" s="907"/>
      <c r="K45" s="907"/>
      <c r="L45" s="907"/>
      <c r="M45" s="907"/>
      <c r="N45" s="907"/>
      <c r="O45" s="907"/>
      <c r="P45" s="907"/>
      <c r="Q45" s="907"/>
      <c r="R45" s="907"/>
      <c r="S45" s="907"/>
      <c r="T45" s="907"/>
      <c r="U45" s="755"/>
      <c r="V45" s="755"/>
      <c r="W45" s="777"/>
      <c r="X45" s="92"/>
      <c r="Y45" s="80"/>
      <c r="Z45" s="80"/>
      <c r="AA45" s="19">
        <f t="shared" si="2"/>
        <v>0</v>
      </c>
      <c r="AB45" s="13">
        <v>6688760</v>
      </c>
      <c r="AC45" s="17">
        <f t="shared" si="1"/>
        <v>-6688760</v>
      </c>
      <c r="AD45" s="90"/>
      <c r="AE45" s="17"/>
      <c r="AF45" s="13"/>
    </row>
    <row r="46" spans="1:32" ht="15.75" customHeight="1">
      <c r="A46" s="63"/>
      <c r="B46" s="507"/>
      <c r="C46" s="65"/>
      <c r="D46" s="339"/>
      <c r="E46" s="85"/>
      <c r="F46" s="75"/>
      <c r="G46" s="74"/>
      <c r="H46" s="642"/>
      <c r="I46" s="762"/>
      <c r="J46" s="795"/>
      <c r="K46" s="768"/>
      <c r="L46" s="768"/>
      <c r="M46" s="795"/>
      <c r="N46" s="795"/>
      <c r="O46" s="795"/>
      <c r="P46" s="801"/>
      <c r="Q46" s="801"/>
      <c r="R46" s="769"/>
      <c r="S46" s="769"/>
      <c r="T46" s="769"/>
      <c r="U46" s="769"/>
      <c r="V46" s="769"/>
      <c r="W46" s="779"/>
      <c r="X46" s="118"/>
      <c r="Y46" s="80"/>
      <c r="Z46" s="80"/>
      <c r="AA46" s="19">
        <f t="shared" si="2"/>
        <v>0</v>
      </c>
      <c r="AB46" s="13">
        <v>16447690</v>
      </c>
      <c r="AC46" s="17">
        <f t="shared" si="1"/>
        <v>-16447690</v>
      </c>
      <c r="AD46" s="136">
        <v>110593440</v>
      </c>
      <c r="AE46" s="17"/>
      <c r="AF46" s="13"/>
    </row>
    <row r="47" spans="1:32" ht="22.5" customHeight="1">
      <c r="A47" s="115"/>
      <c r="B47" s="784"/>
      <c r="C47" s="867" t="s">
        <v>82</v>
      </c>
      <c r="D47" s="337"/>
      <c r="E47" s="136">
        <f>SUM(E48,E81,E83,E85,E87)</f>
        <v>203880.19</v>
      </c>
      <c r="F47" s="136">
        <v>194152.38</v>
      </c>
      <c r="G47" s="395">
        <f>E47-F47</f>
        <v>9727.809999999998</v>
      </c>
      <c r="H47" s="823"/>
      <c r="I47" s="159"/>
      <c r="J47" s="160"/>
      <c r="K47" s="117"/>
      <c r="L47" s="117"/>
      <c r="M47" s="160"/>
      <c r="N47" s="160"/>
      <c r="O47" s="160"/>
      <c r="P47" s="71"/>
      <c r="Q47" s="71"/>
      <c r="R47" s="758"/>
      <c r="S47" s="758"/>
      <c r="T47" s="758"/>
      <c r="U47" s="758"/>
      <c r="V47" s="758"/>
      <c r="W47" s="72"/>
      <c r="X47" s="121"/>
      <c r="Y47" s="80"/>
      <c r="Z47" s="80"/>
      <c r="AA47" s="19">
        <f t="shared" si="2"/>
        <v>0</v>
      </c>
      <c r="AB47" s="13">
        <v>3990660</v>
      </c>
      <c r="AC47" s="17">
        <f t="shared" si="1"/>
        <v>-3990660</v>
      </c>
      <c r="AD47" s="83">
        <v>84293440</v>
      </c>
      <c r="AE47" s="17"/>
      <c r="AF47" s="13"/>
    </row>
    <row r="48" spans="1:32" ht="23.25" customHeight="1">
      <c r="A48" s="115"/>
      <c r="B48" s="784"/>
      <c r="C48" s="867"/>
      <c r="D48" s="872" t="s">
        <v>83</v>
      </c>
      <c r="E48" s="392">
        <f>SUM(Y49)/1000</f>
        <v>157920.19</v>
      </c>
      <c r="F48" s="83">
        <v>149992.38</v>
      </c>
      <c r="G48" s="398">
        <f>E48-F48</f>
        <v>7927.809999999998</v>
      </c>
      <c r="H48" s="167" t="s">
        <v>697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820">
        <f>157920190-149992380</f>
        <v>7927810</v>
      </c>
      <c r="Y48" s="80"/>
      <c r="Z48" s="80"/>
      <c r="AA48" s="19">
        <f t="shared" si="2"/>
        <v>0</v>
      </c>
      <c r="AB48" s="13">
        <v>4111920</v>
      </c>
      <c r="AC48" s="17">
        <f t="shared" si="1"/>
        <v>-4111920</v>
      </c>
      <c r="AD48" s="85"/>
      <c r="AE48" s="17"/>
      <c r="AF48" s="13"/>
    </row>
    <row r="49" spans="1:32" ht="18" customHeight="1">
      <c r="A49" s="115"/>
      <c r="B49" s="784"/>
      <c r="C49" s="782"/>
      <c r="D49" s="867"/>
      <c r="E49" s="393"/>
      <c r="F49" s="85"/>
      <c r="G49" s="402"/>
      <c r="H49" s="811" t="s">
        <v>560</v>
      </c>
      <c r="I49" s="80">
        <v>2773000</v>
      </c>
      <c r="J49" s="795" t="s">
        <v>3</v>
      </c>
      <c r="K49" s="506">
        <f>K10</f>
        <v>0</v>
      </c>
      <c r="L49" s="506" t="s">
        <v>5</v>
      </c>
      <c r="M49" s="795" t="s">
        <v>3</v>
      </c>
      <c r="N49" s="641">
        <v>35</v>
      </c>
      <c r="O49" s="795" t="s">
        <v>8</v>
      </c>
      <c r="P49" s="795" t="s">
        <v>3</v>
      </c>
      <c r="Q49" s="87">
        <v>1.5</v>
      </c>
      <c r="R49" s="88" t="s">
        <v>21</v>
      </c>
      <c r="S49" s="89" t="s">
        <v>22</v>
      </c>
      <c r="T49" s="795" t="s">
        <v>3</v>
      </c>
      <c r="U49" s="331">
        <f>P10</f>
        <v>0</v>
      </c>
      <c r="V49" s="795" t="s">
        <v>6</v>
      </c>
      <c r="W49" s="795" t="s">
        <v>4</v>
      </c>
      <c r="X49" s="118">
        <v>6269100</v>
      </c>
      <c r="Y49" s="80">
        <v>157920190</v>
      </c>
      <c r="Z49" s="80"/>
      <c r="AA49" s="19"/>
      <c r="AB49" s="13"/>
      <c r="AC49" s="17"/>
      <c r="AD49" s="85"/>
      <c r="AE49" s="17"/>
      <c r="AF49" s="13"/>
    </row>
    <row r="50" spans="1:32" ht="18" customHeight="1">
      <c r="A50" s="115"/>
      <c r="B50" s="784"/>
      <c r="C50" s="782"/>
      <c r="D50" s="867"/>
      <c r="E50" s="393"/>
      <c r="F50" s="85"/>
      <c r="G50" s="760"/>
      <c r="H50" s="812"/>
      <c r="I50" s="80">
        <v>2870000</v>
      </c>
      <c r="J50" s="795" t="s">
        <v>3</v>
      </c>
      <c r="K50" s="506">
        <f aca="true" t="shared" si="3" ref="K50:K79">K11</f>
        <v>0</v>
      </c>
      <c r="L50" s="506" t="s">
        <v>5</v>
      </c>
      <c r="M50" s="795" t="s">
        <v>3</v>
      </c>
      <c r="N50" s="641">
        <v>35</v>
      </c>
      <c r="O50" s="795" t="s">
        <v>8</v>
      </c>
      <c r="P50" s="795" t="s">
        <v>3</v>
      </c>
      <c r="Q50" s="87">
        <v>1.5</v>
      </c>
      <c r="R50" s="88" t="s">
        <v>21</v>
      </c>
      <c r="S50" s="89" t="s">
        <v>22</v>
      </c>
      <c r="T50" s="795" t="s">
        <v>3</v>
      </c>
      <c r="U50" s="331">
        <f aca="true" t="shared" si="4" ref="U50:U79">P11</f>
        <v>0</v>
      </c>
      <c r="V50" s="795" t="s">
        <v>6</v>
      </c>
      <c r="W50" s="795" t="s">
        <v>4</v>
      </c>
      <c r="X50" s="118">
        <v>2162790</v>
      </c>
      <c r="Y50" s="80"/>
      <c r="Z50" s="80"/>
      <c r="AA50" s="19">
        <f aca="true" t="shared" si="5" ref="AA50">I61*K61*N61*Q61/S61*U61</f>
        <v>0</v>
      </c>
      <c r="AB50" s="13">
        <v>4111920</v>
      </c>
      <c r="AC50" s="17">
        <f t="shared" si="1"/>
        <v>-4111920</v>
      </c>
      <c r="AD50" s="85"/>
      <c r="AE50" s="17"/>
      <c r="AF50" s="13"/>
    </row>
    <row r="51" spans="1:32" ht="18" customHeight="1">
      <c r="A51" s="115"/>
      <c r="B51" s="784"/>
      <c r="C51" s="782"/>
      <c r="D51" s="867"/>
      <c r="E51" s="393"/>
      <c r="F51" s="85"/>
      <c r="G51" s="760"/>
      <c r="H51" s="971" t="s">
        <v>576</v>
      </c>
      <c r="I51" s="80">
        <v>2856000</v>
      </c>
      <c r="J51" s="795" t="s">
        <v>3</v>
      </c>
      <c r="K51" s="506">
        <f t="shared" si="3"/>
        <v>0</v>
      </c>
      <c r="L51" s="506" t="s">
        <v>5</v>
      </c>
      <c r="M51" s="795" t="s">
        <v>3</v>
      </c>
      <c r="N51" s="641">
        <v>35</v>
      </c>
      <c r="O51" s="795" t="s">
        <v>8</v>
      </c>
      <c r="P51" s="795" t="s">
        <v>3</v>
      </c>
      <c r="Q51" s="87">
        <v>1.5</v>
      </c>
      <c r="R51" s="88" t="s">
        <v>21</v>
      </c>
      <c r="S51" s="89" t="s">
        <v>22</v>
      </c>
      <c r="T51" s="795" t="s">
        <v>3</v>
      </c>
      <c r="U51" s="331">
        <f t="shared" si="4"/>
        <v>0</v>
      </c>
      <c r="V51" s="795" t="s">
        <v>6</v>
      </c>
      <c r="W51" s="795" t="s">
        <v>4</v>
      </c>
      <c r="X51" s="118">
        <v>2152240</v>
      </c>
      <c r="Y51" s="80"/>
      <c r="Z51" s="80"/>
      <c r="AA51" s="19">
        <f>I66*K66*N66*Q66/S66*U66</f>
        <v>0</v>
      </c>
      <c r="AB51" s="13">
        <v>7749810</v>
      </c>
      <c r="AC51" s="17">
        <f t="shared" si="1"/>
        <v>-7749810</v>
      </c>
      <c r="AD51" s="85"/>
      <c r="AE51" s="17"/>
      <c r="AF51" s="13"/>
    </row>
    <row r="52" spans="1:32" ht="18" customHeight="1">
      <c r="A52" s="115"/>
      <c r="B52" s="784"/>
      <c r="C52" s="782"/>
      <c r="D52" s="867"/>
      <c r="E52" s="393"/>
      <c r="F52" s="85"/>
      <c r="G52" s="760"/>
      <c r="H52" s="971"/>
      <c r="I52" s="80">
        <v>2913000</v>
      </c>
      <c r="J52" s="795" t="s">
        <v>3</v>
      </c>
      <c r="K52" s="506">
        <f t="shared" si="3"/>
        <v>0</v>
      </c>
      <c r="L52" s="506" t="s">
        <v>5</v>
      </c>
      <c r="M52" s="795" t="s">
        <v>3</v>
      </c>
      <c r="N52" s="641">
        <v>35</v>
      </c>
      <c r="O52" s="795" t="s">
        <v>8</v>
      </c>
      <c r="P52" s="795" t="s">
        <v>3</v>
      </c>
      <c r="Q52" s="87">
        <v>1.5</v>
      </c>
      <c r="R52" s="88" t="s">
        <v>21</v>
      </c>
      <c r="S52" s="89" t="s">
        <v>22</v>
      </c>
      <c r="T52" s="795" t="s">
        <v>3</v>
      </c>
      <c r="U52" s="331">
        <f t="shared" si="4"/>
        <v>0</v>
      </c>
      <c r="V52" s="795" t="s">
        <v>6</v>
      </c>
      <c r="W52" s="795" t="s">
        <v>4</v>
      </c>
      <c r="X52" s="118">
        <v>6585610</v>
      </c>
      <c r="Y52" s="80"/>
      <c r="Z52" s="80"/>
      <c r="AA52" s="19">
        <f>I67*K67*N67*Q67/S67*U67</f>
        <v>0</v>
      </c>
      <c r="AB52" s="13">
        <v>15962640</v>
      </c>
      <c r="AC52" s="17">
        <f t="shared" si="1"/>
        <v>-15962640</v>
      </c>
      <c r="AD52" s="85"/>
      <c r="AE52" s="17"/>
      <c r="AF52" s="13"/>
    </row>
    <row r="53" spans="1:32" ht="18" customHeight="1">
      <c r="A53" s="115"/>
      <c r="B53" s="784"/>
      <c r="C53" s="782"/>
      <c r="D53" s="867"/>
      <c r="E53" s="393"/>
      <c r="F53" s="85"/>
      <c r="G53" s="760"/>
      <c r="H53" s="971" t="s">
        <v>577</v>
      </c>
      <c r="I53" s="80">
        <v>2099000</v>
      </c>
      <c r="J53" s="795" t="s">
        <v>3</v>
      </c>
      <c r="K53" s="506">
        <f t="shared" si="3"/>
        <v>0</v>
      </c>
      <c r="L53" s="506" t="s">
        <v>5</v>
      </c>
      <c r="M53" s="795" t="s">
        <v>3</v>
      </c>
      <c r="N53" s="641">
        <v>35</v>
      </c>
      <c r="O53" s="795" t="s">
        <v>8</v>
      </c>
      <c r="P53" s="795" t="s">
        <v>3</v>
      </c>
      <c r="Q53" s="87">
        <v>1.5</v>
      </c>
      <c r="R53" s="88" t="s">
        <v>21</v>
      </c>
      <c r="S53" s="89" t="s">
        <v>22</v>
      </c>
      <c r="T53" s="795" t="s">
        <v>3</v>
      </c>
      <c r="U53" s="331">
        <f t="shared" si="4"/>
        <v>0</v>
      </c>
      <c r="V53" s="795" t="s">
        <v>6</v>
      </c>
      <c r="W53" s="795" t="s">
        <v>4</v>
      </c>
      <c r="X53" s="118">
        <v>4745340</v>
      </c>
      <c r="Y53" s="80"/>
      <c r="Z53" s="80"/>
      <c r="AA53" s="19">
        <f>I68*K68*N68*Q68/S68*U68</f>
        <v>0</v>
      </c>
      <c r="AB53" s="19">
        <v>17957970</v>
      </c>
      <c r="AC53" s="17">
        <f t="shared" si="1"/>
        <v>-17957970</v>
      </c>
      <c r="AD53" s="85"/>
      <c r="AE53" s="17"/>
      <c r="AF53" s="19"/>
    </row>
    <row r="54" spans="1:32" ht="18" customHeight="1">
      <c r="A54" s="115"/>
      <c r="B54" s="784"/>
      <c r="C54" s="782"/>
      <c r="D54" s="867"/>
      <c r="E54" s="393"/>
      <c r="F54" s="85"/>
      <c r="G54" s="760"/>
      <c r="H54" s="971"/>
      <c r="I54" s="80">
        <v>2185000</v>
      </c>
      <c r="J54" s="795" t="s">
        <v>3</v>
      </c>
      <c r="K54" s="506">
        <f t="shared" si="3"/>
        <v>0</v>
      </c>
      <c r="L54" s="506" t="s">
        <v>5</v>
      </c>
      <c r="M54" s="795" t="s">
        <v>3</v>
      </c>
      <c r="N54" s="641">
        <v>35</v>
      </c>
      <c r="O54" s="795" t="s">
        <v>8</v>
      </c>
      <c r="P54" s="795" t="s">
        <v>3</v>
      </c>
      <c r="Q54" s="87">
        <v>1.5</v>
      </c>
      <c r="R54" s="88" t="s">
        <v>21</v>
      </c>
      <c r="S54" s="89" t="s">
        <v>22</v>
      </c>
      <c r="T54" s="795" t="s">
        <v>3</v>
      </c>
      <c r="U54" s="331">
        <f t="shared" si="4"/>
        <v>0</v>
      </c>
      <c r="V54" s="795" t="s">
        <v>6</v>
      </c>
      <c r="W54" s="795" t="s">
        <v>4</v>
      </c>
      <c r="X54" s="118">
        <v>1646590</v>
      </c>
      <c r="Y54" s="80"/>
      <c r="Z54" s="80"/>
      <c r="AA54" s="19">
        <f>I79*K79*N79*Q79/S79*U79</f>
        <v>0</v>
      </c>
      <c r="AB54" s="19">
        <v>3422920</v>
      </c>
      <c r="AC54" s="17">
        <f t="shared" si="1"/>
        <v>-3422920</v>
      </c>
      <c r="AD54" s="85"/>
      <c r="AE54" s="17"/>
      <c r="AF54" s="19"/>
    </row>
    <row r="55" spans="1:32" ht="18" customHeight="1">
      <c r="A55" s="115"/>
      <c r="B55" s="784"/>
      <c r="C55" s="782"/>
      <c r="D55" s="867"/>
      <c r="E55" s="393"/>
      <c r="F55" s="85"/>
      <c r="G55" s="760"/>
      <c r="H55" s="971" t="s">
        <v>578</v>
      </c>
      <c r="I55" s="762">
        <v>1757000</v>
      </c>
      <c r="J55" s="795" t="s">
        <v>3</v>
      </c>
      <c r="K55" s="506">
        <f t="shared" si="3"/>
        <v>0</v>
      </c>
      <c r="L55" s="506" t="s">
        <v>5</v>
      </c>
      <c r="M55" s="795" t="s">
        <v>3</v>
      </c>
      <c r="N55" s="641">
        <v>55</v>
      </c>
      <c r="O55" s="795" t="s">
        <v>8</v>
      </c>
      <c r="P55" s="795" t="s">
        <v>3</v>
      </c>
      <c r="Q55" s="87">
        <v>1.5</v>
      </c>
      <c r="R55" s="88" t="s">
        <v>21</v>
      </c>
      <c r="S55" s="89" t="s">
        <v>22</v>
      </c>
      <c r="T55" s="795" t="s">
        <v>3</v>
      </c>
      <c r="U55" s="331">
        <f t="shared" si="4"/>
        <v>0</v>
      </c>
      <c r="V55" s="795" t="s">
        <v>6</v>
      </c>
      <c r="W55" s="795" t="s">
        <v>4</v>
      </c>
      <c r="X55" s="118">
        <v>4161310</v>
      </c>
      <c r="Y55" s="80"/>
      <c r="Z55" s="80"/>
      <c r="AA55" s="19" t="e">
        <f>#REF!*#REF!*#REF!*#REF!/#REF!*#REF!</f>
        <v>#REF!</v>
      </c>
      <c r="AB55" s="19">
        <v>3538670</v>
      </c>
      <c r="AC55" s="17" t="e">
        <f t="shared" si="1"/>
        <v>#REF!</v>
      </c>
      <c r="AD55" s="85"/>
      <c r="AE55" s="17"/>
      <c r="AF55" s="19"/>
    </row>
    <row r="56" spans="1:30" ht="18" customHeight="1">
      <c r="A56" s="115"/>
      <c r="B56" s="784"/>
      <c r="C56" s="782"/>
      <c r="D56" s="867"/>
      <c r="E56" s="393"/>
      <c r="F56" s="85"/>
      <c r="G56" s="760"/>
      <c r="H56" s="971"/>
      <c r="I56" s="762">
        <v>1839000</v>
      </c>
      <c r="J56" s="795" t="s">
        <v>3</v>
      </c>
      <c r="K56" s="506">
        <f t="shared" si="3"/>
        <v>0</v>
      </c>
      <c r="L56" s="506" t="s">
        <v>5</v>
      </c>
      <c r="M56" s="795" t="s">
        <v>3</v>
      </c>
      <c r="N56" s="641">
        <v>55</v>
      </c>
      <c r="O56" s="795" t="s">
        <v>8</v>
      </c>
      <c r="P56" s="795" t="s">
        <v>3</v>
      </c>
      <c r="Q56" s="87">
        <v>1.5</v>
      </c>
      <c r="R56" s="88" t="s">
        <v>21</v>
      </c>
      <c r="S56" s="89" t="s">
        <v>22</v>
      </c>
      <c r="T56" s="795" t="s">
        <v>3</v>
      </c>
      <c r="U56" s="331">
        <f t="shared" si="4"/>
        <v>0</v>
      </c>
      <c r="V56" s="795" t="s">
        <v>6</v>
      </c>
      <c r="W56" s="795" t="s">
        <v>4</v>
      </c>
      <c r="X56" s="118">
        <v>4355520</v>
      </c>
      <c r="Y56" s="80"/>
      <c r="Z56" s="80"/>
      <c r="AD56" s="85"/>
    </row>
    <row r="57" spans="1:30" ht="18" customHeight="1">
      <c r="A57" s="115"/>
      <c r="B57" s="784"/>
      <c r="C57" s="782"/>
      <c r="D57" s="867"/>
      <c r="E57" s="393"/>
      <c r="F57" s="85"/>
      <c r="G57" s="760"/>
      <c r="H57" s="771" t="s">
        <v>553</v>
      </c>
      <c r="I57" s="762">
        <v>2072000</v>
      </c>
      <c r="J57" s="795" t="s">
        <v>3</v>
      </c>
      <c r="K57" s="506">
        <f t="shared" si="3"/>
        <v>0</v>
      </c>
      <c r="L57" s="506" t="s">
        <v>5</v>
      </c>
      <c r="M57" s="795" t="s">
        <v>3</v>
      </c>
      <c r="N57" s="641">
        <v>55</v>
      </c>
      <c r="O57" s="795" t="s">
        <v>8</v>
      </c>
      <c r="P57" s="795" t="s">
        <v>3</v>
      </c>
      <c r="Q57" s="87">
        <v>1.5</v>
      </c>
      <c r="R57" s="88" t="s">
        <v>21</v>
      </c>
      <c r="S57" s="89" t="s">
        <v>22</v>
      </c>
      <c r="T57" s="795" t="s">
        <v>3</v>
      </c>
      <c r="U57" s="331">
        <f t="shared" si="4"/>
        <v>0</v>
      </c>
      <c r="V57" s="795" t="s">
        <v>6</v>
      </c>
      <c r="W57" s="795" t="s">
        <v>4</v>
      </c>
      <c r="X57" s="118">
        <v>9814730</v>
      </c>
      <c r="Y57" s="80"/>
      <c r="Z57" s="80"/>
      <c r="AD57" s="85"/>
    </row>
    <row r="58" spans="1:30" ht="18" customHeight="1">
      <c r="A58" s="115"/>
      <c r="B58" s="784"/>
      <c r="C58" s="782"/>
      <c r="D58" s="867"/>
      <c r="E58" s="393"/>
      <c r="F58" s="85"/>
      <c r="G58" s="760"/>
      <c r="H58" s="913" t="s">
        <v>552</v>
      </c>
      <c r="I58" s="762">
        <v>1624000</v>
      </c>
      <c r="J58" s="795" t="s">
        <v>3</v>
      </c>
      <c r="K58" s="506">
        <f t="shared" si="3"/>
        <v>0</v>
      </c>
      <c r="L58" s="506" t="s">
        <v>5</v>
      </c>
      <c r="M58" s="795" t="s">
        <v>3</v>
      </c>
      <c r="N58" s="641">
        <v>55</v>
      </c>
      <c r="O58" s="795" t="s">
        <v>8</v>
      </c>
      <c r="P58" s="795" t="s">
        <v>3</v>
      </c>
      <c r="Q58" s="87">
        <v>1.5</v>
      </c>
      <c r="R58" s="88" t="s">
        <v>21</v>
      </c>
      <c r="S58" s="89" t="s">
        <v>22</v>
      </c>
      <c r="T58" s="795" t="s">
        <v>3</v>
      </c>
      <c r="U58" s="331">
        <f t="shared" si="4"/>
        <v>0</v>
      </c>
      <c r="V58" s="795" t="s">
        <v>6</v>
      </c>
      <c r="W58" s="795" t="s">
        <v>4</v>
      </c>
      <c r="X58" s="118">
        <v>1923150</v>
      </c>
      <c r="Y58" s="80"/>
      <c r="Z58" s="80"/>
      <c r="AA58" s="253" t="e">
        <f>#REF!-4240000</f>
        <v>#REF!</v>
      </c>
      <c r="AD58" s="85"/>
    </row>
    <row r="59" spans="1:30" ht="18" customHeight="1">
      <c r="A59" s="115"/>
      <c r="B59" s="784"/>
      <c r="C59" s="782"/>
      <c r="D59" s="867"/>
      <c r="E59" s="393"/>
      <c r="F59" s="85"/>
      <c r="G59" s="760"/>
      <c r="H59" s="913"/>
      <c r="I59" s="762">
        <v>1671000</v>
      </c>
      <c r="J59" s="795" t="s">
        <v>3</v>
      </c>
      <c r="K59" s="506">
        <f t="shared" si="3"/>
        <v>0</v>
      </c>
      <c r="L59" s="506" t="s">
        <v>5</v>
      </c>
      <c r="M59" s="795" t="s">
        <v>3</v>
      </c>
      <c r="N59" s="641">
        <v>55</v>
      </c>
      <c r="O59" s="795" t="s">
        <v>8</v>
      </c>
      <c r="P59" s="795" t="s">
        <v>3</v>
      </c>
      <c r="Q59" s="87">
        <v>1.5</v>
      </c>
      <c r="R59" s="88" t="s">
        <v>21</v>
      </c>
      <c r="S59" s="89" t="s">
        <v>22</v>
      </c>
      <c r="T59" s="795" t="s">
        <v>3</v>
      </c>
      <c r="U59" s="331">
        <f t="shared" si="4"/>
        <v>0</v>
      </c>
      <c r="V59" s="795" t="s">
        <v>6</v>
      </c>
      <c r="W59" s="795" t="s">
        <v>4</v>
      </c>
      <c r="X59" s="118">
        <v>5936440</v>
      </c>
      <c r="Y59" s="80"/>
      <c r="Z59" s="80"/>
      <c r="AD59" s="85"/>
    </row>
    <row r="60" spans="1:30" ht="18" customHeight="1">
      <c r="A60" s="115"/>
      <c r="B60" s="784"/>
      <c r="C60" s="782"/>
      <c r="D60" s="867"/>
      <c r="E60" s="393"/>
      <c r="F60" s="85"/>
      <c r="G60" s="760"/>
      <c r="H60" s="913" t="s">
        <v>552</v>
      </c>
      <c r="I60" s="762">
        <v>1624000</v>
      </c>
      <c r="J60" s="795" t="s">
        <v>3</v>
      </c>
      <c r="K60" s="506">
        <f t="shared" si="3"/>
        <v>0</v>
      </c>
      <c r="L60" s="506" t="s">
        <v>5</v>
      </c>
      <c r="M60" s="795" t="s">
        <v>3</v>
      </c>
      <c r="N60" s="641">
        <v>55</v>
      </c>
      <c r="O60" s="795" t="s">
        <v>8</v>
      </c>
      <c r="P60" s="795" t="s">
        <v>3</v>
      </c>
      <c r="Q60" s="87">
        <v>1.5</v>
      </c>
      <c r="R60" s="88" t="s">
        <v>21</v>
      </c>
      <c r="S60" s="89" t="s">
        <v>22</v>
      </c>
      <c r="T60" s="795" t="s">
        <v>3</v>
      </c>
      <c r="U60" s="331">
        <f t="shared" si="4"/>
        <v>0</v>
      </c>
      <c r="V60" s="795" t="s">
        <v>6</v>
      </c>
      <c r="W60" s="795" t="s">
        <v>4</v>
      </c>
      <c r="X60" s="118">
        <v>11538940</v>
      </c>
      <c r="Y60" s="80"/>
      <c r="Z60" s="80"/>
      <c r="AD60" s="85"/>
    </row>
    <row r="61" spans="1:30" ht="18" customHeight="1">
      <c r="A61" s="115"/>
      <c r="B61" s="784"/>
      <c r="C61" s="782"/>
      <c r="D61" s="867"/>
      <c r="E61" s="393"/>
      <c r="F61" s="85"/>
      <c r="G61" s="760"/>
      <c r="H61" s="913"/>
      <c r="I61" s="762">
        <v>1671000</v>
      </c>
      <c r="J61" s="795" t="s">
        <v>3</v>
      </c>
      <c r="K61" s="506">
        <f t="shared" si="3"/>
        <v>0</v>
      </c>
      <c r="L61" s="506" t="s">
        <v>5</v>
      </c>
      <c r="M61" s="795" t="s">
        <v>3</v>
      </c>
      <c r="N61" s="641">
        <v>55</v>
      </c>
      <c r="O61" s="795" t="s">
        <v>8</v>
      </c>
      <c r="P61" s="795" t="s">
        <v>3</v>
      </c>
      <c r="Q61" s="87">
        <v>1.5</v>
      </c>
      <c r="R61" s="88" t="s">
        <v>21</v>
      </c>
      <c r="S61" s="89" t="s">
        <v>22</v>
      </c>
      <c r="T61" s="795" t="s">
        <v>3</v>
      </c>
      <c r="U61" s="331">
        <f t="shared" si="4"/>
        <v>0</v>
      </c>
      <c r="V61" s="795" t="s">
        <v>6</v>
      </c>
      <c r="W61" s="795" t="s">
        <v>4</v>
      </c>
      <c r="X61" s="118">
        <v>3957630</v>
      </c>
      <c r="Y61" s="80"/>
      <c r="Z61" s="80"/>
      <c r="AD61" s="85"/>
    </row>
    <row r="62" spans="1:30" ht="18" customHeight="1">
      <c r="A62" s="115"/>
      <c r="B62" s="784"/>
      <c r="C62" s="782"/>
      <c r="D62" s="867"/>
      <c r="E62" s="393"/>
      <c r="F62" s="85"/>
      <c r="G62" s="760"/>
      <c r="H62" s="771" t="s">
        <v>554</v>
      </c>
      <c r="I62" s="762">
        <v>1624000</v>
      </c>
      <c r="J62" s="795" t="s">
        <v>3</v>
      </c>
      <c r="K62" s="506">
        <f t="shared" si="3"/>
        <v>0</v>
      </c>
      <c r="L62" s="506" t="s">
        <v>5</v>
      </c>
      <c r="M62" s="795" t="s">
        <v>3</v>
      </c>
      <c r="N62" s="641">
        <v>55</v>
      </c>
      <c r="O62" s="795" t="s">
        <v>8</v>
      </c>
      <c r="P62" s="795" t="s">
        <v>3</v>
      </c>
      <c r="Q62" s="87">
        <v>1.5</v>
      </c>
      <c r="R62" s="88" t="s">
        <v>21</v>
      </c>
      <c r="S62" s="89" t="s">
        <v>22</v>
      </c>
      <c r="T62" s="795" t="s">
        <v>3</v>
      </c>
      <c r="U62" s="331">
        <f t="shared" si="4"/>
        <v>0</v>
      </c>
      <c r="V62" s="795" t="s">
        <v>6</v>
      </c>
      <c r="W62" s="795" t="s">
        <v>4</v>
      </c>
      <c r="X62" s="118">
        <v>7692630</v>
      </c>
      <c r="Y62" s="80"/>
      <c r="Z62" s="80"/>
      <c r="AD62" s="85"/>
    </row>
    <row r="63" spans="1:30" ht="18" customHeight="1">
      <c r="A63" s="115"/>
      <c r="B63" s="784"/>
      <c r="C63" s="782"/>
      <c r="D63" s="867"/>
      <c r="E63" s="393"/>
      <c r="F63" s="85"/>
      <c r="G63" s="760"/>
      <c r="H63" s="913" t="s">
        <v>555</v>
      </c>
      <c r="I63" s="762">
        <v>1671000</v>
      </c>
      <c r="J63" s="795" t="s">
        <v>3</v>
      </c>
      <c r="K63" s="506">
        <f t="shared" si="3"/>
        <v>0</v>
      </c>
      <c r="L63" s="506" t="s">
        <v>5</v>
      </c>
      <c r="M63" s="795" t="s">
        <v>3</v>
      </c>
      <c r="N63" s="641">
        <v>55</v>
      </c>
      <c r="O63" s="795" t="s">
        <v>8</v>
      </c>
      <c r="P63" s="795" t="s">
        <v>3</v>
      </c>
      <c r="Q63" s="87">
        <v>1.5</v>
      </c>
      <c r="R63" s="88" t="s">
        <v>21</v>
      </c>
      <c r="S63" s="89" t="s">
        <v>22</v>
      </c>
      <c r="T63" s="795" t="s">
        <v>3</v>
      </c>
      <c r="U63" s="331">
        <f t="shared" si="4"/>
        <v>0</v>
      </c>
      <c r="V63" s="795" t="s">
        <v>6</v>
      </c>
      <c r="W63" s="795" t="s">
        <v>4</v>
      </c>
      <c r="X63" s="118">
        <v>17809340</v>
      </c>
      <c r="Y63" s="80"/>
      <c r="Z63" s="80"/>
      <c r="AD63" s="85"/>
    </row>
    <row r="64" spans="1:30" ht="18" customHeight="1">
      <c r="A64" s="115"/>
      <c r="B64" s="784"/>
      <c r="C64" s="782"/>
      <c r="D64" s="867"/>
      <c r="E64" s="393"/>
      <c r="F64" s="85"/>
      <c r="G64" s="760"/>
      <c r="H64" s="913"/>
      <c r="I64" s="762">
        <v>1772000</v>
      </c>
      <c r="J64" s="795" t="s">
        <v>3</v>
      </c>
      <c r="K64" s="506">
        <f t="shared" si="3"/>
        <v>0</v>
      </c>
      <c r="L64" s="506" t="s">
        <v>5</v>
      </c>
      <c r="M64" s="795" t="s">
        <v>3</v>
      </c>
      <c r="N64" s="641">
        <v>55</v>
      </c>
      <c r="O64" s="795" t="s">
        <v>8</v>
      </c>
      <c r="P64" s="795" t="s">
        <v>3</v>
      </c>
      <c r="Q64" s="87">
        <v>1.5</v>
      </c>
      <c r="R64" s="88" t="s">
        <v>21</v>
      </c>
      <c r="S64" s="89" t="s">
        <v>22</v>
      </c>
      <c r="T64" s="795" t="s">
        <v>3</v>
      </c>
      <c r="U64" s="331">
        <f t="shared" si="4"/>
        <v>0</v>
      </c>
      <c r="V64" s="795" t="s">
        <v>6</v>
      </c>
      <c r="W64" s="795" t="s">
        <v>4</v>
      </c>
      <c r="X64" s="118">
        <v>6295260</v>
      </c>
      <c r="Y64" s="80"/>
      <c r="Z64" s="80"/>
      <c r="AD64" s="85"/>
    </row>
    <row r="65" spans="1:30" ht="18" customHeight="1">
      <c r="A65" s="115"/>
      <c r="B65" s="784"/>
      <c r="C65" s="782"/>
      <c r="D65" s="867"/>
      <c r="E65" s="393"/>
      <c r="F65" s="85"/>
      <c r="G65" s="760"/>
      <c r="H65" s="913" t="s">
        <v>556</v>
      </c>
      <c r="I65" s="762">
        <v>1484000</v>
      </c>
      <c r="J65" s="795" t="s">
        <v>3</v>
      </c>
      <c r="K65" s="506">
        <f t="shared" si="3"/>
        <v>0</v>
      </c>
      <c r="L65" s="506" t="s">
        <v>5</v>
      </c>
      <c r="M65" s="795" t="s">
        <v>3</v>
      </c>
      <c r="N65" s="641">
        <v>55</v>
      </c>
      <c r="O65" s="795" t="s">
        <v>8</v>
      </c>
      <c r="P65" s="795" t="s">
        <v>3</v>
      </c>
      <c r="Q65" s="87">
        <v>1.5</v>
      </c>
      <c r="R65" s="88" t="s">
        <v>21</v>
      </c>
      <c r="S65" s="89" t="s">
        <v>22</v>
      </c>
      <c r="T65" s="795" t="s">
        <v>3</v>
      </c>
      <c r="U65" s="331">
        <f t="shared" si="4"/>
        <v>0</v>
      </c>
      <c r="V65" s="795" t="s">
        <v>6</v>
      </c>
      <c r="W65" s="795" t="s">
        <v>4</v>
      </c>
      <c r="X65" s="118">
        <v>1757360</v>
      </c>
      <c r="Y65" s="80"/>
      <c r="Z65" s="80"/>
      <c r="AD65" s="85"/>
    </row>
    <row r="66" spans="1:30" ht="18" customHeight="1">
      <c r="A66" s="115"/>
      <c r="B66" s="784"/>
      <c r="C66" s="782"/>
      <c r="D66" s="867"/>
      <c r="E66" s="393"/>
      <c r="F66" s="85"/>
      <c r="G66" s="760"/>
      <c r="H66" s="913"/>
      <c r="I66" s="762">
        <v>1529000</v>
      </c>
      <c r="J66" s="795" t="s">
        <v>3</v>
      </c>
      <c r="K66" s="506">
        <f t="shared" si="3"/>
        <v>0</v>
      </c>
      <c r="L66" s="506" t="s">
        <v>5</v>
      </c>
      <c r="M66" s="795" t="s">
        <v>3</v>
      </c>
      <c r="N66" s="641">
        <v>55</v>
      </c>
      <c r="O66" s="795" t="s">
        <v>8</v>
      </c>
      <c r="P66" s="795" t="s">
        <v>3</v>
      </c>
      <c r="Q66" s="87">
        <v>1.5</v>
      </c>
      <c r="R66" s="88" t="s">
        <v>21</v>
      </c>
      <c r="S66" s="89" t="s">
        <v>22</v>
      </c>
      <c r="T66" s="795" t="s">
        <v>3</v>
      </c>
      <c r="U66" s="331">
        <f t="shared" si="4"/>
        <v>0</v>
      </c>
      <c r="V66" s="795" t="s">
        <v>6</v>
      </c>
      <c r="W66" s="795" t="s">
        <v>4</v>
      </c>
      <c r="X66" s="118">
        <v>5431970</v>
      </c>
      <c r="Y66" s="80"/>
      <c r="Z66" s="80"/>
      <c r="AD66" s="85"/>
    </row>
    <row r="67" spans="1:30" ht="18" customHeight="1">
      <c r="A67" s="115"/>
      <c r="B67" s="784"/>
      <c r="C67" s="782"/>
      <c r="D67" s="867"/>
      <c r="E67" s="393"/>
      <c r="F67" s="85"/>
      <c r="G67" s="760"/>
      <c r="H67" s="771" t="s">
        <v>571</v>
      </c>
      <c r="I67" s="762">
        <v>1576000</v>
      </c>
      <c r="J67" s="795" t="s">
        <v>3</v>
      </c>
      <c r="K67" s="506">
        <f t="shared" si="3"/>
        <v>0</v>
      </c>
      <c r="L67" s="506" t="s">
        <v>5</v>
      </c>
      <c r="M67" s="795" t="s">
        <v>3</v>
      </c>
      <c r="N67" s="641">
        <v>55</v>
      </c>
      <c r="O67" s="795" t="s">
        <v>8</v>
      </c>
      <c r="P67" s="795" t="s">
        <v>3</v>
      </c>
      <c r="Q67" s="87">
        <v>1.5</v>
      </c>
      <c r="R67" s="88" t="s">
        <v>21</v>
      </c>
      <c r="S67" s="89" t="s">
        <v>22</v>
      </c>
      <c r="T67" s="795" t="s">
        <v>3</v>
      </c>
      <c r="U67" s="331">
        <f t="shared" si="4"/>
        <v>0</v>
      </c>
      <c r="V67" s="795" t="s">
        <v>6</v>
      </c>
      <c r="W67" s="795" t="s">
        <v>4</v>
      </c>
      <c r="X67" s="118">
        <v>7465260</v>
      </c>
      <c r="Y67" s="80"/>
      <c r="Z67" s="80"/>
      <c r="AD67" s="85"/>
    </row>
    <row r="68" spans="1:30" ht="18" customHeight="1">
      <c r="A68" s="115"/>
      <c r="B68" s="784"/>
      <c r="C68" s="782"/>
      <c r="D68" s="867"/>
      <c r="E68" s="393"/>
      <c r="F68" s="85"/>
      <c r="G68" s="760"/>
      <c r="H68" s="771" t="s">
        <v>572</v>
      </c>
      <c r="I68" s="762">
        <v>1839000</v>
      </c>
      <c r="J68" s="795" t="s">
        <v>3</v>
      </c>
      <c r="K68" s="506">
        <f t="shared" si="3"/>
        <v>0</v>
      </c>
      <c r="L68" s="506" t="s">
        <v>5</v>
      </c>
      <c r="M68" s="795" t="s">
        <v>3</v>
      </c>
      <c r="N68" s="641">
        <v>35</v>
      </c>
      <c r="O68" s="795" t="s">
        <v>8</v>
      </c>
      <c r="P68" s="795" t="s">
        <v>3</v>
      </c>
      <c r="Q68" s="87">
        <v>1.5</v>
      </c>
      <c r="R68" s="88" t="s">
        <v>21</v>
      </c>
      <c r="S68" s="89" t="s">
        <v>22</v>
      </c>
      <c r="T68" s="795" t="s">
        <v>3</v>
      </c>
      <c r="U68" s="331">
        <f t="shared" si="4"/>
        <v>0</v>
      </c>
      <c r="V68" s="795" t="s">
        <v>6</v>
      </c>
      <c r="W68" s="795" t="s">
        <v>4</v>
      </c>
      <c r="X68" s="118">
        <v>5543390</v>
      </c>
      <c r="Y68" s="80"/>
      <c r="Z68" s="80"/>
      <c r="AD68" s="85"/>
    </row>
    <row r="69" spans="1:30" ht="18" customHeight="1">
      <c r="A69" s="115"/>
      <c r="B69" s="784"/>
      <c r="C69" s="782"/>
      <c r="D69" s="867"/>
      <c r="E69" s="393"/>
      <c r="F69" s="85"/>
      <c r="G69" s="760"/>
      <c r="H69" s="913" t="s">
        <v>557</v>
      </c>
      <c r="I69" s="762">
        <v>1350000</v>
      </c>
      <c r="J69" s="795" t="s">
        <v>3</v>
      </c>
      <c r="K69" s="506">
        <f t="shared" si="3"/>
        <v>0</v>
      </c>
      <c r="L69" s="506" t="s">
        <v>5</v>
      </c>
      <c r="M69" s="795" t="s">
        <v>3</v>
      </c>
      <c r="N69" s="641">
        <v>55</v>
      </c>
      <c r="O69" s="795" t="s">
        <v>8</v>
      </c>
      <c r="P69" s="795" t="s">
        <v>3</v>
      </c>
      <c r="Q69" s="87">
        <v>1.5</v>
      </c>
      <c r="R69" s="88" t="s">
        <v>21</v>
      </c>
      <c r="S69" s="89" t="s">
        <v>22</v>
      </c>
      <c r="T69" s="795" t="s">
        <v>3</v>
      </c>
      <c r="U69" s="331">
        <f t="shared" si="4"/>
        <v>0</v>
      </c>
      <c r="V69" s="795" t="s">
        <v>6</v>
      </c>
      <c r="W69" s="795" t="s">
        <v>4</v>
      </c>
      <c r="X69" s="118">
        <v>1598680</v>
      </c>
      <c r="Y69" s="80"/>
      <c r="Z69" s="80"/>
      <c r="AD69" s="85"/>
    </row>
    <row r="70" spans="1:30" ht="18" customHeight="1">
      <c r="A70" s="115"/>
      <c r="B70" s="784"/>
      <c r="C70" s="782"/>
      <c r="D70" s="867"/>
      <c r="E70" s="393"/>
      <c r="F70" s="85"/>
      <c r="G70" s="760"/>
      <c r="H70" s="913"/>
      <c r="I70" s="762">
        <v>1397000</v>
      </c>
      <c r="J70" s="795" t="s">
        <v>3</v>
      </c>
      <c r="K70" s="506">
        <f t="shared" si="3"/>
        <v>0</v>
      </c>
      <c r="L70" s="506" t="s">
        <v>5</v>
      </c>
      <c r="M70" s="795" t="s">
        <v>3</v>
      </c>
      <c r="N70" s="641">
        <v>55</v>
      </c>
      <c r="O70" s="795" t="s">
        <v>8</v>
      </c>
      <c r="P70" s="795" t="s">
        <v>3</v>
      </c>
      <c r="Q70" s="87">
        <v>1.5</v>
      </c>
      <c r="R70" s="88" t="s">
        <v>21</v>
      </c>
      <c r="S70" s="89" t="s">
        <v>22</v>
      </c>
      <c r="T70" s="795" t="s">
        <v>3</v>
      </c>
      <c r="U70" s="331">
        <f t="shared" si="4"/>
        <v>0</v>
      </c>
      <c r="V70" s="795" t="s">
        <v>6</v>
      </c>
      <c r="W70" s="795" t="s">
        <v>4</v>
      </c>
      <c r="X70" s="118">
        <v>4963020</v>
      </c>
      <c r="Y70" s="80"/>
      <c r="Z70" s="80"/>
      <c r="AD70" s="83">
        <v>4240000</v>
      </c>
    </row>
    <row r="71" spans="1:30" ht="18" customHeight="1">
      <c r="A71" s="115"/>
      <c r="B71" s="784"/>
      <c r="C71" s="782"/>
      <c r="D71" s="867"/>
      <c r="E71" s="393"/>
      <c r="F71" s="85"/>
      <c r="G71" s="760"/>
      <c r="H71" s="913" t="s">
        <v>557</v>
      </c>
      <c r="I71" s="762">
        <v>1350000</v>
      </c>
      <c r="J71" s="795" t="s">
        <v>3</v>
      </c>
      <c r="K71" s="506">
        <f t="shared" si="3"/>
        <v>0</v>
      </c>
      <c r="L71" s="506" t="s">
        <v>5</v>
      </c>
      <c r="M71" s="795" t="s">
        <v>3</v>
      </c>
      <c r="N71" s="641">
        <v>55</v>
      </c>
      <c r="O71" s="795" t="s">
        <v>8</v>
      </c>
      <c r="P71" s="795" t="s">
        <v>3</v>
      </c>
      <c r="Q71" s="87">
        <v>1.5</v>
      </c>
      <c r="R71" s="88" t="s">
        <v>21</v>
      </c>
      <c r="S71" s="89" t="s">
        <v>22</v>
      </c>
      <c r="T71" s="795" t="s">
        <v>3</v>
      </c>
      <c r="U71" s="331">
        <f t="shared" si="4"/>
        <v>0</v>
      </c>
      <c r="V71" s="795" t="s">
        <v>6</v>
      </c>
      <c r="W71" s="795" t="s">
        <v>4</v>
      </c>
      <c r="X71" s="118">
        <v>4796050</v>
      </c>
      <c r="Y71" s="80"/>
      <c r="Z71" s="80"/>
      <c r="AD71" s="85"/>
    </row>
    <row r="72" spans="1:30" ht="18" customHeight="1">
      <c r="A72" s="115"/>
      <c r="B72" s="784"/>
      <c r="C72" s="782"/>
      <c r="D72" s="867"/>
      <c r="E72" s="393"/>
      <c r="F72" s="85"/>
      <c r="G72" s="760"/>
      <c r="H72" s="913"/>
      <c r="I72" s="762">
        <v>1397000</v>
      </c>
      <c r="J72" s="795" t="s">
        <v>3</v>
      </c>
      <c r="K72" s="506">
        <f t="shared" si="3"/>
        <v>0</v>
      </c>
      <c r="L72" s="506" t="s">
        <v>5</v>
      </c>
      <c r="M72" s="795" t="s">
        <v>3</v>
      </c>
      <c r="N72" s="641">
        <v>55</v>
      </c>
      <c r="O72" s="795" t="s">
        <v>8</v>
      </c>
      <c r="P72" s="795" t="s">
        <v>3</v>
      </c>
      <c r="Q72" s="87">
        <v>1.5</v>
      </c>
      <c r="R72" s="88" t="s">
        <v>21</v>
      </c>
      <c r="S72" s="89" t="s">
        <v>22</v>
      </c>
      <c r="T72" s="795" t="s">
        <v>3</v>
      </c>
      <c r="U72" s="331">
        <f t="shared" si="4"/>
        <v>0</v>
      </c>
      <c r="V72" s="795" t="s">
        <v>6</v>
      </c>
      <c r="W72" s="795" t="s">
        <v>4</v>
      </c>
      <c r="X72" s="118">
        <v>1654340</v>
      </c>
      <c r="Y72" s="80"/>
      <c r="Z72" s="80"/>
      <c r="AD72" s="85"/>
    </row>
    <row r="73" spans="1:30" ht="18" customHeight="1">
      <c r="A73" s="115"/>
      <c r="B73" s="784"/>
      <c r="C73" s="782"/>
      <c r="D73" s="867"/>
      <c r="E73" s="393"/>
      <c r="F73" s="85"/>
      <c r="G73" s="760"/>
      <c r="H73" s="913" t="s">
        <v>558</v>
      </c>
      <c r="I73" s="762">
        <v>1493000</v>
      </c>
      <c r="J73" s="795" t="s">
        <v>3</v>
      </c>
      <c r="K73" s="506">
        <f t="shared" si="3"/>
        <v>0</v>
      </c>
      <c r="L73" s="506" t="s">
        <v>5</v>
      </c>
      <c r="M73" s="795" t="s">
        <v>3</v>
      </c>
      <c r="N73" s="641">
        <v>35</v>
      </c>
      <c r="O73" s="795" t="s">
        <v>8</v>
      </c>
      <c r="P73" s="795" t="s">
        <v>3</v>
      </c>
      <c r="Q73" s="87">
        <v>1.5</v>
      </c>
      <c r="R73" s="88" t="s">
        <v>21</v>
      </c>
      <c r="S73" s="89" t="s">
        <v>22</v>
      </c>
      <c r="T73" s="795" t="s">
        <v>3</v>
      </c>
      <c r="U73" s="331">
        <f t="shared" si="4"/>
        <v>0</v>
      </c>
      <c r="V73" s="795" t="s">
        <v>6</v>
      </c>
      <c r="W73" s="795" t="s">
        <v>4</v>
      </c>
      <c r="X73" s="118">
        <v>3375320</v>
      </c>
      <c r="Y73" s="80"/>
      <c r="Z73" s="80"/>
      <c r="AD73" s="85"/>
    </row>
    <row r="74" spans="1:30" ht="18" customHeight="1">
      <c r="A74" s="115"/>
      <c r="B74" s="784"/>
      <c r="C74" s="782"/>
      <c r="D74" s="867"/>
      <c r="E74" s="393"/>
      <c r="F74" s="85"/>
      <c r="G74" s="760"/>
      <c r="H74" s="913"/>
      <c r="I74" s="762">
        <v>1535000</v>
      </c>
      <c r="J74" s="795" t="s">
        <v>3</v>
      </c>
      <c r="K74" s="506">
        <f t="shared" si="3"/>
        <v>0</v>
      </c>
      <c r="L74" s="506" t="s">
        <v>5</v>
      </c>
      <c r="M74" s="795" t="s">
        <v>3</v>
      </c>
      <c r="N74" s="641">
        <v>35</v>
      </c>
      <c r="O74" s="795" t="s">
        <v>8</v>
      </c>
      <c r="P74" s="795" t="s">
        <v>3</v>
      </c>
      <c r="Q74" s="87">
        <v>1.5</v>
      </c>
      <c r="R74" s="88" t="s">
        <v>21</v>
      </c>
      <c r="S74" s="89" t="s">
        <v>22</v>
      </c>
      <c r="T74" s="795" t="s">
        <v>3</v>
      </c>
      <c r="U74" s="331">
        <f t="shared" si="4"/>
        <v>0</v>
      </c>
      <c r="V74" s="795" t="s">
        <v>6</v>
      </c>
      <c r="W74" s="795" t="s">
        <v>4</v>
      </c>
      <c r="X74" s="118">
        <v>1156750</v>
      </c>
      <c r="Y74" s="80"/>
      <c r="Z74" s="80"/>
      <c r="AD74" s="85"/>
    </row>
    <row r="75" spans="1:30" ht="18" customHeight="1">
      <c r="A75" s="115"/>
      <c r="B75" s="784"/>
      <c r="C75" s="782"/>
      <c r="D75" s="867"/>
      <c r="E75" s="393"/>
      <c r="F75" s="85"/>
      <c r="G75" s="760"/>
      <c r="H75" s="913" t="s">
        <v>573</v>
      </c>
      <c r="I75" s="762">
        <v>1585000</v>
      </c>
      <c r="J75" s="795" t="s">
        <v>3</v>
      </c>
      <c r="K75" s="506">
        <f t="shared" si="3"/>
        <v>0</v>
      </c>
      <c r="L75" s="506" t="s">
        <v>5</v>
      </c>
      <c r="M75" s="795" t="s">
        <v>3</v>
      </c>
      <c r="N75" s="641">
        <v>35</v>
      </c>
      <c r="O75" s="795" t="s">
        <v>8</v>
      </c>
      <c r="P75" s="795" t="s">
        <v>3</v>
      </c>
      <c r="Q75" s="87">
        <v>1.5</v>
      </c>
      <c r="R75" s="88" t="s">
        <v>21</v>
      </c>
      <c r="S75" s="89" t="s">
        <v>22</v>
      </c>
      <c r="T75" s="795" t="s">
        <v>3</v>
      </c>
      <c r="U75" s="331">
        <f t="shared" si="4"/>
        <v>0</v>
      </c>
      <c r="V75" s="795" t="s">
        <v>6</v>
      </c>
      <c r="W75" s="795" t="s">
        <v>4</v>
      </c>
      <c r="X75" s="118">
        <v>2388870</v>
      </c>
      <c r="Y75" s="80"/>
      <c r="Z75" s="80"/>
      <c r="AD75" s="85"/>
    </row>
    <row r="76" spans="1:30" ht="18" customHeight="1">
      <c r="A76" s="115"/>
      <c r="B76" s="784"/>
      <c r="C76" s="782"/>
      <c r="D76" s="867"/>
      <c r="E76" s="393"/>
      <c r="F76" s="85"/>
      <c r="G76" s="760"/>
      <c r="H76" s="913"/>
      <c r="I76" s="762">
        <v>1639000</v>
      </c>
      <c r="J76" s="795" t="s">
        <v>3</v>
      </c>
      <c r="K76" s="506">
        <f t="shared" si="3"/>
        <v>0</v>
      </c>
      <c r="L76" s="506" t="s">
        <v>5</v>
      </c>
      <c r="M76" s="795" t="s">
        <v>3</v>
      </c>
      <c r="N76" s="641">
        <v>35</v>
      </c>
      <c r="O76" s="795" t="s">
        <v>8</v>
      </c>
      <c r="P76" s="795" t="s">
        <v>3</v>
      </c>
      <c r="Q76" s="87">
        <v>1.5</v>
      </c>
      <c r="R76" s="88" t="s">
        <v>21</v>
      </c>
      <c r="S76" s="89" t="s">
        <v>22</v>
      </c>
      <c r="T76" s="795" t="s">
        <v>3</v>
      </c>
      <c r="U76" s="331">
        <f t="shared" si="4"/>
        <v>0</v>
      </c>
      <c r="V76" s="795" t="s">
        <v>6</v>
      </c>
      <c r="W76" s="795" t="s">
        <v>4</v>
      </c>
      <c r="X76" s="118">
        <v>2470260</v>
      </c>
      <c r="Y76" s="80"/>
      <c r="Z76" s="80"/>
      <c r="AD76" s="85"/>
    </row>
    <row r="77" spans="1:30" ht="18" customHeight="1">
      <c r="A77" s="115"/>
      <c r="B77" s="784"/>
      <c r="C77" s="782"/>
      <c r="D77" s="867"/>
      <c r="E77" s="393"/>
      <c r="F77" s="85"/>
      <c r="G77" s="760"/>
      <c r="H77" s="913" t="s">
        <v>574</v>
      </c>
      <c r="I77" s="762">
        <v>1839000</v>
      </c>
      <c r="J77" s="795" t="s">
        <v>3</v>
      </c>
      <c r="K77" s="506">
        <f t="shared" si="3"/>
        <v>0</v>
      </c>
      <c r="L77" s="506" t="s">
        <v>5</v>
      </c>
      <c r="M77" s="795" t="s">
        <v>3</v>
      </c>
      <c r="N77" s="641">
        <v>35</v>
      </c>
      <c r="O77" s="795" t="s">
        <v>8</v>
      </c>
      <c r="P77" s="795" t="s">
        <v>3</v>
      </c>
      <c r="Q77" s="87">
        <v>1.5</v>
      </c>
      <c r="R77" s="88" t="s">
        <v>21</v>
      </c>
      <c r="S77" s="89" t="s">
        <v>22</v>
      </c>
      <c r="T77" s="795" t="s">
        <v>3</v>
      </c>
      <c r="U77" s="331">
        <f t="shared" si="4"/>
        <v>0</v>
      </c>
      <c r="V77" s="795" t="s">
        <v>6</v>
      </c>
      <c r="W77" s="795" t="s">
        <v>4</v>
      </c>
      <c r="X77" s="118">
        <v>1385840</v>
      </c>
      <c r="Y77" s="80"/>
      <c r="Z77" s="80"/>
      <c r="AD77" s="85"/>
    </row>
    <row r="78" spans="1:30" ht="18" customHeight="1">
      <c r="A78" s="115"/>
      <c r="B78" s="784"/>
      <c r="C78" s="782"/>
      <c r="D78" s="867"/>
      <c r="E78" s="393"/>
      <c r="F78" s="85"/>
      <c r="G78" s="760"/>
      <c r="H78" s="913"/>
      <c r="I78" s="762">
        <v>1924000</v>
      </c>
      <c r="J78" s="795" t="s">
        <v>3</v>
      </c>
      <c r="K78" s="506">
        <f t="shared" si="3"/>
        <v>0</v>
      </c>
      <c r="L78" s="506" t="s">
        <v>5</v>
      </c>
      <c r="M78" s="795" t="s">
        <v>3</v>
      </c>
      <c r="N78" s="641">
        <v>35</v>
      </c>
      <c r="O78" s="795" t="s">
        <v>8</v>
      </c>
      <c r="P78" s="795" t="s">
        <v>3</v>
      </c>
      <c r="Q78" s="87">
        <v>1.5</v>
      </c>
      <c r="R78" s="88" t="s">
        <v>21</v>
      </c>
      <c r="S78" s="89" t="s">
        <v>22</v>
      </c>
      <c r="T78" s="795" t="s">
        <v>3</v>
      </c>
      <c r="U78" s="331">
        <f t="shared" si="4"/>
        <v>0</v>
      </c>
      <c r="V78" s="795" t="s">
        <v>6</v>
      </c>
      <c r="W78" s="795" t="s">
        <v>4</v>
      </c>
      <c r="X78" s="118">
        <v>4349710</v>
      </c>
      <c r="Y78" s="80"/>
      <c r="Z78" s="80"/>
      <c r="AD78" s="85"/>
    </row>
    <row r="79" spans="1:30" ht="18" customHeight="1" thickBot="1">
      <c r="A79" s="115"/>
      <c r="B79" s="784"/>
      <c r="C79" s="782"/>
      <c r="D79" s="867"/>
      <c r="E79" s="394"/>
      <c r="F79" s="138"/>
      <c r="G79" s="152"/>
      <c r="H79" s="679" t="s">
        <v>559</v>
      </c>
      <c r="I79" s="255">
        <v>1529000</v>
      </c>
      <c r="J79" s="798" t="s">
        <v>3</v>
      </c>
      <c r="K79" s="417">
        <f t="shared" si="3"/>
        <v>0</v>
      </c>
      <c r="L79" s="417" t="s">
        <v>5</v>
      </c>
      <c r="M79" s="798" t="s">
        <v>3</v>
      </c>
      <c r="N79" s="504">
        <v>35</v>
      </c>
      <c r="O79" s="798" t="s">
        <v>8</v>
      </c>
      <c r="P79" s="798" t="s">
        <v>3</v>
      </c>
      <c r="Q79" s="418">
        <v>1.5</v>
      </c>
      <c r="R79" s="505" t="s">
        <v>21</v>
      </c>
      <c r="S79" s="419" t="s">
        <v>22</v>
      </c>
      <c r="T79" s="798" t="s">
        <v>3</v>
      </c>
      <c r="U79" s="420">
        <f t="shared" si="4"/>
        <v>0</v>
      </c>
      <c r="V79" s="798" t="s">
        <v>6</v>
      </c>
      <c r="W79" s="795" t="s">
        <v>4</v>
      </c>
      <c r="X79" s="141">
        <v>4608940</v>
      </c>
      <c r="Y79" s="80"/>
      <c r="Z79" s="80"/>
      <c r="AD79" s="98">
        <v>14500000</v>
      </c>
    </row>
    <row r="80" spans="1:30" ht="18" customHeight="1">
      <c r="A80" s="115"/>
      <c r="B80" s="784"/>
      <c r="C80" s="782"/>
      <c r="D80" s="875"/>
      <c r="E80" s="393"/>
      <c r="F80" s="85"/>
      <c r="G80" s="74"/>
      <c r="H80" s="763"/>
      <c r="I80" s="762"/>
      <c r="J80" s="795"/>
      <c r="K80" s="506"/>
      <c r="L80" s="506"/>
      <c r="M80" s="795"/>
      <c r="N80" s="641"/>
      <c r="O80" s="795"/>
      <c r="P80" s="795"/>
      <c r="Q80" s="87"/>
      <c r="R80" s="88"/>
      <c r="S80" s="89"/>
      <c r="T80" s="795"/>
      <c r="U80" s="331"/>
      <c r="V80" s="795"/>
      <c r="W80" s="795"/>
      <c r="X80" s="118"/>
      <c r="Y80" s="80"/>
      <c r="Z80" s="80"/>
      <c r="AD80" s="79"/>
    </row>
    <row r="81" spans="1:30" ht="16.5" customHeight="1">
      <c r="A81" s="115"/>
      <c r="B81" s="784"/>
      <c r="C81" s="782"/>
      <c r="D81" s="872" t="s">
        <v>84</v>
      </c>
      <c r="E81" s="392">
        <f>SUM(Y81:Y82)/1000</f>
        <v>8160</v>
      </c>
      <c r="F81" s="83">
        <v>7680</v>
      </c>
      <c r="G81" s="399">
        <f>E81-F81</f>
        <v>480</v>
      </c>
      <c r="H81" s="668" t="s">
        <v>303</v>
      </c>
      <c r="I81" s="932" t="s">
        <v>736</v>
      </c>
      <c r="J81" s="932"/>
      <c r="K81" s="932"/>
      <c r="L81" s="932"/>
      <c r="M81" s="932"/>
      <c r="N81" s="932"/>
      <c r="O81" s="932"/>
      <c r="P81" s="932"/>
      <c r="Q81" s="932"/>
      <c r="R81" s="932"/>
      <c r="S81" s="932"/>
      <c r="T81" s="789"/>
      <c r="U81" s="802" t="s">
        <v>4</v>
      </c>
      <c r="V81" s="802"/>
      <c r="W81" s="98"/>
      <c r="X81" s="92">
        <f>8160000-7680000</f>
        <v>480000</v>
      </c>
      <c r="Y81" s="80">
        <v>8160000</v>
      </c>
      <c r="Z81" s="80"/>
      <c r="AA81" s="253" t="e">
        <f>I90-총인건비!C39</f>
        <v>#VALUE!</v>
      </c>
      <c r="AD81" s="79"/>
    </row>
    <row r="82" spans="1:30" ht="16.5" customHeight="1">
      <c r="A82" s="63"/>
      <c r="B82" s="507"/>
      <c r="C82" s="782"/>
      <c r="D82" s="875"/>
      <c r="E82" s="332"/>
      <c r="F82" s="90"/>
      <c r="G82" s="66"/>
      <c r="H82" s="577"/>
      <c r="I82" s="754"/>
      <c r="J82" s="774"/>
      <c r="K82" s="931"/>
      <c r="L82" s="931"/>
      <c r="M82" s="786"/>
      <c r="N82" s="786"/>
      <c r="O82" s="786"/>
      <c r="P82" s="931"/>
      <c r="Q82" s="931"/>
      <c r="R82" s="931"/>
      <c r="S82" s="931"/>
      <c r="T82" s="786"/>
      <c r="U82" s="754"/>
      <c r="V82" s="754"/>
      <c r="W82" s="59"/>
      <c r="X82" s="119">
        <f aca="true" t="shared" si="6" ref="X82">I82*K82*P82</f>
        <v>0</v>
      </c>
      <c r="Y82" s="80"/>
      <c r="Z82" s="80"/>
      <c r="AD82" s="85">
        <v>5360000</v>
      </c>
    </row>
    <row r="83" spans="1:30" ht="16.5" customHeight="1">
      <c r="A83" s="63"/>
      <c r="B83" s="507"/>
      <c r="C83" s="782"/>
      <c r="D83" s="867" t="s">
        <v>85</v>
      </c>
      <c r="E83" s="79">
        <f>SUM(X83/1000)</f>
        <v>25200</v>
      </c>
      <c r="F83" s="85">
        <v>25200</v>
      </c>
      <c r="G83" s="400">
        <f>E83-F83</f>
        <v>0</v>
      </c>
      <c r="H83" s="817" t="s">
        <v>304</v>
      </c>
      <c r="I83" s="762">
        <v>100000</v>
      </c>
      <c r="J83" s="795" t="s">
        <v>3</v>
      </c>
      <c r="K83" s="946">
        <v>21</v>
      </c>
      <c r="L83" s="946"/>
      <c r="M83" s="787" t="s">
        <v>5</v>
      </c>
      <c r="N83" s="787" t="s">
        <v>3</v>
      </c>
      <c r="O83" s="787"/>
      <c r="P83" s="946">
        <v>12</v>
      </c>
      <c r="Q83" s="946"/>
      <c r="R83" s="946" t="s">
        <v>6</v>
      </c>
      <c r="S83" s="946"/>
      <c r="T83" s="787"/>
      <c r="U83" s="762" t="s">
        <v>4</v>
      </c>
      <c r="V83" s="762"/>
      <c r="W83" s="79"/>
      <c r="X83" s="118">
        <f>I83*K83*P83</f>
        <v>25200000</v>
      </c>
      <c r="Y83" s="80"/>
      <c r="Z83" s="80"/>
      <c r="AD83" s="85"/>
    </row>
    <row r="84" spans="1:30" ht="16.5" customHeight="1" thickBot="1">
      <c r="A84" s="63"/>
      <c r="B84" s="507"/>
      <c r="C84" s="782"/>
      <c r="D84" s="875"/>
      <c r="E84" s="59"/>
      <c r="F84" s="90"/>
      <c r="G84" s="66"/>
      <c r="H84" s="576"/>
      <c r="I84" s="665"/>
      <c r="J84" s="665"/>
      <c r="K84" s="665"/>
      <c r="L84" s="665"/>
      <c r="M84" s="665"/>
      <c r="N84" s="665"/>
      <c r="O84" s="665"/>
      <c r="P84" s="665"/>
      <c r="Q84" s="665"/>
      <c r="R84" s="665"/>
      <c r="S84" s="665"/>
      <c r="T84" s="665"/>
      <c r="U84" s="665"/>
      <c r="V84" s="665"/>
      <c r="W84" s="665"/>
      <c r="X84" s="704"/>
      <c r="Y84" s="167"/>
      <c r="Z84" s="167"/>
      <c r="AD84" s="138"/>
    </row>
    <row r="85" spans="1:30" ht="16.5" customHeight="1">
      <c r="A85" s="63"/>
      <c r="B85" s="507"/>
      <c r="C85" s="782"/>
      <c r="D85" s="872" t="s">
        <v>86</v>
      </c>
      <c r="E85" s="392">
        <f>SUM(Y85:Y86)/1000</f>
        <v>8400</v>
      </c>
      <c r="F85" s="83">
        <v>7680</v>
      </c>
      <c r="G85" s="399">
        <f>E85-F85</f>
        <v>720</v>
      </c>
      <c r="H85" s="588" t="s">
        <v>706</v>
      </c>
      <c r="I85" s="932" t="s">
        <v>705</v>
      </c>
      <c r="J85" s="932"/>
      <c r="K85" s="932"/>
      <c r="L85" s="932"/>
      <c r="M85" s="932"/>
      <c r="N85" s="932"/>
      <c r="O85" s="932"/>
      <c r="P85" s="932"/>
      <c r="Q85" s="932"/>
      <c r="R85" s="932"/>
      <c r="S85" s="932"/>
      <c r="T85" s="932"/>
      <c r="U85" s="802" t="s">
        <v>4</v>
      </c>
      <c r="V85" s="802"/>
      <c r="W85" s="98"/>
      <c r="X85" s="92">
        <f>8400000-7680000</f>
        <v>720000</v>
      </c>
      <c r="Y85" s="80">
        <v>8400000</v>
      </c>
      <c r="Z85" s="80"/>
      <c r="AD85" s="90"/>
    </row>
    <row r="86" spans="1:30" ht="16.5" customHeight="1">
      <c r="A86" s="63"/>
      <c r="B86" s="507"/>
      <c r="C86" s="782"/>
      <c r="D86" s="875"/>
      <c r="E86" s="332"/>
      <c r="F86" s="90"/>
      <c r="G86" s="66"/>
      <c r="H86" s="577"/>
      <c r="I86" s="754"/>
      <c r="J86" s="774"/>
      <c r="K86" s="931"/>
      <c r="L86" s="931"/>
      <c r="M86" s="786"/>
      <c r="N86" s="786"/>
      <c r="O86" s="786"/>
      <c r="P86" s="931"/>
      <c r="Q86" s="931"/>
      <c r="R86" s="931"/>
      <c r="S86" s="931"/>
      <c r="T86" s="786"/>
      <c r="U86" s="754"/>
      <c r="V86" s="754"/>
      <c r="W86" s="59"/>
      <c r="X86" s="119"/>
      <c r="Y86" s="167"/>
      <c r="Z86" s="167"/>
      <c r="AD86" s="85">
        <v>45026200</v>
      </c>
    </row>
    <row r="87" spans="1:30" ht="16.5" customHeight="1">
      <c r="A87" s="63"/>
      <c r="B87" s="507"/>
      <c r="C87" s="782"/>
      <c r="D87" s="872" t="s">
        <v>230</v>
      </c>
      <c r="E87" s="393">
        <f>SUM(Y87:Y88)/1000</f>
        <v>4200</v>
      </c>
      <c r="F87" s="85">
        <v>3600</v>
      </c>
      <c r="G87" s="400">
        <f>E87-F87</f>
        <v>600</v>
      </c>
      <c r="H87" s="771" t="s">
        <v>719</v>
      </c>
      <c r="I87" s="932" t="s">
        <v>707</v>
      </c>
      <c r="J87" s="932"/>
      <c r="K87" s="932"/>
      <c r="L87" s="932"/>
      <c r="M87" s="932"/>
      <c r="N87" s="932"/>
      <c r="O87" s="932"/>
      <c r="P87" s="932"/>
      <c r="Q87" s="932"/>
      <c r="R87" s="932"/>
      <c r="S87" s="932"/>
      <c r="T87" s="787"/>
      <c r="U87" s="762" t="s">
        <v>4</v>
      </c>
      <c r="V87" s="762"/>
      <c r="W87" s="79"/>
      <c r="X87" s="836">
        <f>4200000-3600000</f>
        <v>600000</v>
      </c>
      <c r="Y87" s="80">
        <v>4200000</v>
      </c>
      <c r="Z87" s="80"/>
      <c r="AD87" s="85">
        <v>952350</v>
      </c>
    </row>
    <row r="88" spans="1:30" ht="16.5" customHeight="1">
      <c r="A88" s="63"/>
      <c r="B88" s="507"/>
      <c r="C88" s="781"/>
      <c r="D88" s="875"/>
      <c r="E88" s="393"/>
      <c r="F88" s="85"/>
      <c r="G88" s="74"/>
      <c r="H88" s="771"/>
      <c r="I88" s="762"/>
      <c r="J88" s="795"/>
      <c r="K88" s="946"/>
      <c r="L88" s="946"/>
      <c r="M88" s="946"/>
      <c r="N88" s="946"/>
      <c r="O88" s="787"/>
      <c r="P88" s="787"/>
      <c r="Q88" s="787"/>
      <c r="R88" s="787"/>
      <c r="S88" s="787"/>
      <c r="T88" s="787"/>
      <c r="U88" s="762"/>
      <c r="V88" s="762"/>
      <c r="W88" s="59"/>
      <c r="X88" s="836">
        <f>50000*2*12</f>
        <v>1200000</v>
      </c>
      <c r="Y88" s="80"/>
      <c r="Z88" s="80"/>
      <c r="AD88" s="85">
        <v>22525960</v>
      </c>
    </row>
    <row r="89" spans="1:30" ht="18" customHeight="1">
      <c r="A89" s="168"/>
      <c r="B89" s="163"/>
      <c r="C89" s="872" t="s">
        <v>88</v>
      </c>
      <c r="D89" s="337"/>
      <c r="E89" s="136">
        <f>E90</f>
        <v>60373.79</v>
      </c>
      <c r="F89" s="77">
        <v>56874.19</v>
      </c>
      <c r="G89" s="395">
        <f>E89-F89</f>
        <v>3499.5999999999985</v>
      </c>
      <c r="H89" s="649"/>
      <c r="I89" s="802"/>
      <c r="J89" s="789"/>
      <c r="K89" s="789"/>
      <c r="L89" s="789"/>
      <c r="M89" s="789"/>
      <c r="N89" s="789"/>
      <c r="O89" s="789"/>
      <c r="P89" s="789"/>
      <c r="Q89" s="789"/>
      <c r="R89" s="789"/>
      <c r="S89" s="789"/>
      <c r="T89" s="789"/>
      <c r="U89" s="802"/>
      <c r="V89" s="802"/>
      <c r="W89" s="79"/>
      <c r="X89" s="92"/>
      <c r="Y89" s="80"/>
      <c r="Z89" s="80"/>
      <c r="AD89" s="90"/>
    </row>
    <row r="90" spans="1:30" ht="16.5" customHeight="1">
      <c r="A90" s="115"/>
      <c r="B90" s="784"/>
      <c r="C90" s="867"/>
      <c r="D90" s="933" t="s">
        <v>87</v>
      </c>
      <c r="E90" s="392">
        <f>Z90/1000</f>
        <v>60373.79</v>
      </c>
      <c r="F90" s="83">
        <v>56874.19</v>
      </c>
      <c r="G90" s="446">
        <f>E90-F90</f>
        <v>3499.5999999999985</v>
      </c>
      <c r="H90" s="666" t="s">
        <v>306</v>
      </c>
      <c r="I90" s="881" t="s">
        <v>699</v>
      </c>
      <c r="J90" s="881"/>
      <c r="K90" s="881"/>
      <c r="L90" s="881"/>
      <c r="M90" s="881"/>
      <c r="N90" s="881"/>
      <c r="O90" s="881"/>
      <c r="P90" s="881"/>
      <c r="Q90" s="881"/>
      <c r="R90" s="881"/>
      <c r="S90" s="881"/>
      <c r="T90" s="881"/>
      <c r="U90" s="802" t="s">
        <v>4</v>
      </c>
      <c r="V90" s="669"/>
      <c r="W90" s="670"/>
      <c r="X90" s="701">
        <f>60373790-56874190</f>
        <v>3499600</v>
      </c>
      <c r="Y90" s="814">
        <v>56874190</v>
      </c>
      <c r="Z90" s="236">
        <v>60373790</v>
      </c>
      <c r="AD90" s="83">
        <v>3504030</v>
      </c>
    </row>
    <row r="91" spans="1:30" ht="16.5" customHeight="1">
      <c r="A91" s="115"/>
      <c r="B91" s="784"/>
      <c r="C91" s="875"/>
      <c r="D91" s="934"/>
      <c r="E91" s="332"/>
      <c r="F91" s="90"/>
      <c r="G91" s="667"/>
      <c r="H91" s="671"/>
      <c r="I91" s="665"/>
      <c r="J91" s="665"/>
      <c r="K91" s="665"/>
      <c r="L91" s="665"/>
      <c r="M91" s="665"/>
      <c r="N91" s="665"/>
      <c r="O91" s="665"/>
      <c r="P91" s="665"/>
      <c r="Q91" s="665"/>
      <c r="R91" s="665"/>
      <c r="S91" s="665"/>
      <c r="T91" s="665"/>
      <c r="U91" s="665"/>
      <c r="V91" s="665"/>
      <c r="W91" s="665"/>
      <c r="X91" s="704"/>
      <c r="Y91" s="167"/>
      <c r="Z91" s="167"/>
      <c r="AD91" s="90"/>
    </row>
    <row r="92" spans="1:30" ht="21" customHeight="1">
      <c r="A92" s="115"/>
      <c r="B92" s="784"/>
      <c r="C92" s="872" t="s">
        <v>89</v>
      </c>
      <c r="D92" s="339"/>
      <c r="E92" s="393">
        <f>SUM(E93,E95,E97,E99,E101)</f>
        <v>66820.91</v>
      </c>
      <c r="F92" s="83">
        <v>62583.509999999995</v>
      </c>
      <c r="G92" s="400">
        <f>E92-F92</f>
        <v>4237.400000000009</v>
      </c>
      <c r="H92" s="580"/>
      <c r="I92" s="644"/>
      <c r="J92" s="644"/>
      <c r="K92" s="644"/>
      <c r="L92" s="581"/>
      <c r="M92" s="644"/>
      <c r="N92" s="644"/>
      <c r="O92" s="644"/>
      <c r="P92" s="292"/>
      <c r="Q92" s="292"/>
      <c r="R92" s="292"/>
      <c r="S92" s="292"/>
      <c r="T92" s="292"/>
      <c r="U92" s="292"/>
      <c r="V92" s="292"/>
      <c r="W92" s="582"/>
      <c r="X92" s="126"/>
      <c r="Y92" s="814"/>
      <c r="Z92" s="236"/>
      <c r="AD92" s="83">
        <v>3504030</v>
      </c>
    </row>
    <row r="93" spans="1:30" ht="16.5" customHeight="1">
      <c r="A93" s="115"/>
      <c r="B93" s="784"/>
      <c r="C93" s="955"/>
      <c r="D93" s="933" t="s">
        <v>90</v>
      </c>
      <c r="E93" s="392">
        <f>Z93/1000</f>
        <v>21372.32</v>
      </c>
      <c r="F93" s="83">
        <v>19792.22</v>
      </c>
      <c r="G93" s="398">
        <f>E93-F93</f>
        <v>1580.0999999999985</v>
      </c>
      <c r="H93" s="672" t="s">
        <v>333</v>
      </c>
      <c r="I93" s="930" t="s">
        <v>702</v>
      </c>
      <c r="J93" s="930"/>
      <c r="K93" s="930"/>
      <c r="L93" s="930"/>
      <c r="M93" s="930"/>
      <c r="N93" s="930"/>
      <c r="O93" s="930"/>
      <c r="P93" s="930"/>
      <c r="Q93" s="930"/>
      <c r="R93" s="930"/>
      <c r="S93" s="930"/>
      <c r="T93" s="930"/>
      <c r="U93" s="796" t="s">
        <v>9</v>
      </c>
      <c r="V93" s="796"/>
      <c r="W93" s="673"/>
      <c r="X93" s="714">
        <f>21372320-19792220</f>
        <v>1580100</v>
      </c>
      <c r="Y93" s="167">
        <v>19792220</v>
      </c>
      <c r="Z93" s="814">
        <v>21372320</v>
      </c>
      <c r="AD93" s="90"/>
    </row>
    <row r="94" spans="1:30" ht="16.5" customHeight="1">
      <c r="A94" s="115"/>
      <c r="B94" s="784"/>
      <c r="C94" s="507"/>
      <c r="D94" s="934"/>
      <c r="E94" s="332"/>
      <c r="F94" s="90"/>
      <c r="G94" s="765"/>
      <c r="H94" s="675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705"/>
      <c r="Y94" s="814"/>
      <c r="Z94" s="167"/>
      <c r="AD94" s="85">
        <v>1200000</v>
      </c>
    </row>
    <row r="95" spans="1:30" ht="16.5" customHeight="1">
      <c r="A95" s="168"/>
      <c r="B95" s="163"/>
      <c r="C95" s="784"/>
      <c r="D95" s="950" t="s">
        <v>91</v>
      </c>
      <c r="E95" s="392">
        <f>Z95/1000</f>
        <v>1399.88</v>
      </c>
      <c r="F95" s="83">
        <v>1296.39</v>
      </c>
      <c r="G95" s="402">
        <f>E95-F95</f>
        <v>103.49000000000001</v>
      </c>
      <c r="H95" s="674" t="s">
        <v>321</v>
      </c>
      <c r="I95" s="930" t="s">
        <v>701</v>
      </c>
      <c r="J95" s="930"/>
      <c r="K95" s="930"/>
      <c r="L95" s="930"/>
      <c r="M95" s="930"/>
      <c r="N95" s="930"/>
      <c r="O95" s="930"/>
      <c r="P95" s="930"/>
      <c r="Q95" s="930"/>
      <c r="R95" s="930"/>
      <c r="S95" s="930"/>
      <c r="T95" s="930"/>
      <c r="U95" s="608" t="s">
        <v>4</v>
      </c>
      <c r="V95" s="796"/>
      <c r="W95" s="673"/>
      <c r="X95" s="714">
        <f>1399880-1296390</f>
        <v>103490</v>
      </c>
      <c r="Y95" s="167">
        <v>1296390</v>
      </c>
      <c r="Z95" s="814">
        <v>1399880</v>
      </c>
      <c r="AD95" s="83">
        <v>1200000</v>
      </c>
    </row>
    <row r="96" spans="1:30" ht="16.5" customHeight="1">
      <c r="A96" s="115"/>
      <c r="B96" s="784"/>
      <c r="C96" s="784"/>
      <c r="D96" s="934"/>
      <c r="E96" s="332"/>
      <c r="F96" s="90"/>
      <c r="G96" s="765"/>
      <c r="H96" s="675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705"/>
      <c r="Y96" s="814"/>
      <c r="Z96" s="167"/>
      <c r="AD96" s="85"/>
    </row>
    <row r="97" spans="1:30" ht="16.5" customHeight="1">
      <c r="A97" s="168"/>
      <c r="B97" s="163"/>
      <c r="C97" s="784"/>
      <c r="D97" s="872" t="s">
        <v>92</v>
      </c>
      <c r="E97" s="392">
        <f>Z97/1000</f>
        <v>32601.85</v>
      </c>
      <c r="F97" s="83">
        <v>30711.56</v>
      </c>
      <c r="G97" s="396">
        <f>E97-F97</f>
        <v>1890.2899999999972</v>
      </c>
      <c r="H97" s="674" t="s">
        <v>322</v>
      </c>
      <c r="I97" s="930" t="s">
        <v>700</v>
      </c>
      <c r="J97" s="930"/>
      <c r="K97" s="930"/>
      <c r="L97" s="930"/>
      <c r="M97" s="930"/>
      <c r="N97" s="930"/>
      <c r="O97" s="930"/>
      <c r="P97" s="930"/>
      <c r="Q97" s="930"/>
      <c r="R97" s="930"/>
      <c r="S97" s="930"/>
      <c r="T97" s="930"/>
      <c r="U97" s="608" t="s">
        <v>4</v>
      </c>
      <c r="V97" s="796"/>
      <c r="W97" s="673"/>
      <c r="X97" s="714">
        <f>32601850-30712060</f>
        <v>1889790</v>
      </c>
      <c r="Y97" s="167">
        <v>30712060</v>
      </c>
      <c r="Z97" s="814">
        <v>32601850</v>
      </c>
      <c r="AD97" s="136">
        <v>1650000</v>
      </c>
    </row>
    <row r="98" spans="1:30" ht="16.5" customHeight="1">
      <c r="A98" s="115"/>
      <c r="B98" s="784"/>
      <c r="C98" s="784"/>
      <c r="D98" s="875"/>
      <c r="E98" s="332"/>
      <c r="F98" s="90"/>
      <c r="G98" s="511"/>
      <c r="H98" s="675"/>
      <c r="I98" s="816"/>
      <c r="J98" s="816"/>
      <c r="K98" s="816"/>
      <c r="L98" s="816"/>
      <c r="M98" s="816"/>
      <c r="N98" s="816"/>
      <c r="O98" s="816"/>
      <c r="P98" s="816"/>
      <c r="Q98" s="816"/>
      <c r="R98" s="816"/>
      <c r="S98" s="816"/>
      <c r="T98" s="816"/>
      <c r="U98" s="167"/>
      <c r="V98" s="167"/>
      <c r="W98" s="167"/>
      <c r="X98" s="705"/>
      <c r="Y98" s="814"/>
      <c r="Z98" s="167"/>
      <c r="AD98" s="136">
        <v>550000</v>
      </c>
    </row>
    <row r="99" spans="1:30" ht="16.5" customHeight="1">
      <c r="A99" s="115"/>
      <c r="B99" s="784"/>
      <c r="C99" s="784"/>
      <c r="D99" s="872" t="s">
        <v>93</v>
      </c>
      <c r="E99" s="392">
        <f>Z99/1000</f>
        <v>5795.88</v>
      </c>
      <c r="F99" s="83">
        <v>5459.92</v>
      </c>
      <c r="G99" s="432">
        <f>E99-F99</f>
        <v>335.96000000000004</v>
      </c>
      <c r="H99" s="674" t="s">
        <v>323</v>
      </c>
      <c r="I99" s="930" t="s">
        <v>703</v>
      </c>
      <c r="J99" s="930"/>
      <c r="K99" s="930"/>
      <c r="L99" s="930"/>
      <c r="M99" s="930"/>
      <c r="N99" s="930"/>
      <c r="O99" s="930"/>
      <c r="P99" s="930"/>
      <c r="Q99" s="930"/>
      <c r="R99" s="930"/>
      <c r="S99" s="930"/>
      <c r="T99" s="930"/>
      <c r="U99" s="608" t="s">
        <v>4</v>
      </c>
      <c r="V99" s="796"/>
      <c r="W99" s="673"/>
      <c r="X99" s="714">
        <f>5795880-5459920</f>
        <v>335960</v>
      </c>
      <c r="Y99" s="167">
        <v>5459920</v>
      </c>
      <c r="Z99" s="814">
        <v>5795880</v>
      </c>
      <c r="AD99" s="85">
        <v>550000</v>
      </c>
    </row>
    <row r="100" spans="1:30" ht="16.5" customHeight="1">
      <c r="A100" s="115"/>
      <c r="B100" s="784"/>
      <c r="C100" s="784"/>
      <c r="D100" s="875"/>
      <c r="E100" s="332"/>
      <c r="F100" s="90"/>
      <c r="G100" s="511"/>
      <c r="H100" s="675"/>
      <c r="I100" s="816"/>
      <c r="J100" s="816"/>
      <c r="K100" s="816"/>
      <c r="L100" s="816"/>
      <c r="M100" s="816"/>
      <c r="N100" s="816"/>
      <c r="O100" s="816"/>
      <c r="P100" s="816"/>
      <c r="Q100" s="816"/>
      <c r="R100" s="816"/>
      <c r="S100" s="816"/>
      <c r="T100" s="816"/>
      <c r="U100" s="167"/>
      <c r="V100" s="167"/>
      <c r="W100" s="167"/>
      <c r="X100" s="705"/>
      <c r="Y100" s="236"/>
      <c r="Z100" s="167"/>
      <c r="AD100" s="90"/>
    </row>
    <row r="101" spans="1:30" ht="16.5" customHeight="1">
      <c r="A101" s="115"/>
      <c r="B101" s="784"/>
      <c r="C101" s="784"/>
      <c r="D101" s="872" t="s">
        <v>94</v>
      </c>
      <c r="E101" s="392">
        <f>Z101/1000</f>
        <v>5650.98</v>
      </c>
      <c r="F101" s="83">
        <v>5323.42</v>
      </c>
      <c r="G101" s="432">
        <f>E101-F101</f>
        <v>327.5599999999995</v>
      </c>
      <c r="H101" s="674" t="s">
        <v>324</v>
      </c>
      <c r="I101" s="930" t="s">
        <v>704</v>
      </c>
      <c r="J101" s="930"/>
      <c r="K101" s="930"/>
      <c r="L101" s="930"/>
      <c r="M101" s="930"/>
      <c r="N101" s="930"/>
      <c r="O101" s="930"/>
      <c r="P101" s="930"/>
      <c r="Q101" s="930"/>
      <c r="R101" s="930"/>
      <c r="S101" s="930"/>
      <c r="T101" s="930"/>
      <c r="U101" s="608" t="s">
        <v>4</v>
      </c>
      <c r="V101" s="796"/>
      <c r="W101" s="673"/>
      <c r="X101" s="714">
        <f>5650980-5323420</f>
        <v>327560</v>
      </c>
      <c r="Y101" s="598">
        <v>5323420</v>
      </c>
      <c r="Z101" s="814">
        <v>5650980</v>
      </c>
      <c r="AD101" s="136">
        <v>1100000</v>
      </c>
    </row>
    <row r="102" spans="1:30" ht="16.5" customHeight="1" thickBot="1">
      <c r="A102" s="193"/>
      <c r="B102" s="137"/>
      <c r="C102" s="137"/>
      <c r="D102" s="873"/>
      <c r="E102" s="394"/>
      <c r="F102" s="138"/>
      <c r="G102" s="233"/>
      <c r="H102" s="689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702"/>
      <c r="Y102" s="598"/>
      <c r="Z102" s="167"/>
      <c r="AA102" s="25"/>
      <c r="AD102" s="83">
        <v>1100000</v>
      </c>
    </row>
    <row r="103" spans="1:30" ht="16.5" customHeight="1">
      <c r="A103" s="479"/>
      <c r="B103" s="73"/>
      <c r="C103" s="899" t="s">
        <v>95</v>
      </c>
      <c r="D103" s="339"/>
      <c r="E103" s="85">
        <f>E104</f>
        <v>2690</v>
      </c>
      <c r="F103" s="67">
        <v>2690</v>
      </c>
      <c r="G103" s="400">
        <f>E103-F103</f>
        <v>0</v>
      </c>
      <c r="H103" s="580"/>
      <c r="I103" s="644"/>
      <c r="J103" s="644"/>
      <c r="K103" s="585"/>
      <c r="L103" s="585"/>
      <c r="M103" s="644"/>
      <c r="N103" s="644"/>
      <c r="O103" s="583"/>
      <c r="P103" s="583"/>
      <c r="Q103" s="80"/>
      <c r="R103" s="584"/>
      <c r="S103" s="292"/>
      <c r="T103" s="292"/>
      <c r="U103" s="635"/>
      <c r="V103" s="292"/>
      <c r="W103" s="582"/>
      <c r="X103" s="126"/>
      <c r="Z103" s="236"/>
      <c r="AA103" s="25"/>
      <c r="AD103" s="90"/>
    </row>
    <row r="104" spans="1:30" ht="16.5" customHeight="1">
      <c r="A104" s="115"/>
      <c r="B104" s="73"/>
      <c r="C104" s="867"/>
      <c r="D104" s="933" t="s">
        <v>125</v>
      </c>
      <c r="E104" s="392">
        <f>SUM(X104:X107)/1000</f>
        <v>2690</v>
      </c>
      <c r="F104" s="83">
        <v>2690</v>
      </c>
      <c r="G104" s="398">
        <f>E104-F104</f>
        <v>0</v>
      </c>
      <c r="H104" s="606" t="s">
        <v>457</v>
      </c>
      <c r="I104" s="599">
        <v>30000</v>
      </c>
      <c r="J104" s="600" t="s">
        <v>441</v>
      </c>
      <c r="K104" s="945">
        <v>21</v>
      </c>
      <c r="L104" s="945"/>
      <c r="M104" s="601" t="s">
        <v>525</v>
      </c>
      <c r="N104" s="601"/>
      <c r="O104" s="600" t="s">
        <v>441</v>
      </c>
      <c r="P104" s="945">
        <v>1</v>
      </c>
      <c r="Q104" s="945"/>
      <c r="R104" s="945" t="s">
        <v>446</v>
      </c>
      <c r="S104" s="945"/>
      <c r="T104" s="601"/>
      <c r="U104" s="626" t="s">
        <v>4</v>
      </c>
      <c r="V104" s="601"/>
      <c r="W104" s="601"/>
      <c r="X104" s="726">
        <f>I104*K104*P104</f>
        <v>630000</v>
      </c>
      <c r="Z104" s="598"/>
      <c r="AA104" s="25"/>
      <c r="AD104" s="136">
        <v>19050000</v>
      </c>
    </row>
    <row r="105" spans="1:30" ht="16.5" customHeight="1">
      <c r="A105" s="115"/>
      <c r="B105" s="73"/>
      <c r="C105" s="625"/>
      <c r="D105" s="950"/>
      <c r="E105" s="393"/>
      <c r="F105" s="85"/>
      <c r="G105" s="402"/>
      <c r="H105" s="724" t="s">
        <v>669</v>
      </c>
      <c r="I105" s="725">
        <v>30000</v>
      </c>
      <c r="J105" s="597" t="s">
        <v>441</v>
      </c>
      <c r="K105" s="927">
        <v>21</v>
      </c>
      <c r="L105" s="927"/>
      <c r="M105" s="598" t="s">
        <v>525</v>
      </c>
      <c r="N105" s="598"/>
      <c r="O105" s="597" t="s">
        <v>441</v>
      </c>
      <c r="P105" s="927">
        <v>1</v>
      </c>
      <c r="Q105" s="927"/>
      <c r="R105" s="927" t="s">
        <v>442</v>
      </c>
      <c r="S105" s="927"/>
      <c r="T105" s="598"/>
      <c r="U105" s="635" t="s">
        <v>4</v>
      </c>
      <c r="V105" s="598"/>
      <c r="W105" s="598"/>
      <c r="X105" s="727">
        <f aca="true" t="shared" si="7" ref="X105:X106">I105*K105*P105</f>
        <v>630000</v>
      </c>
      <c r="Z105" s="598"/>
      <c r="AA105" s="25"/>
      <c r="AD105" s="136"/>
    </row>
    <row r="106" spans="1:30" ht="16.5" customHeight="1">
      <c r="A106" s="115"/>
      <c r="B106" s="73"/>
      <c r="C106" s="625"/>
      <c r="D106" s="950"/>
      <c r="E106" s="393"/>
      <c r="F106" s="85"/>
      <c r="G106" s="402"/>
      <c r="H106" s="724" t="s">
        <v>667</v>
      </c>
      <c r="I106" s="725">
        <v>30000</v>
      </c>
      <c r="J106" s="597" t="s">
        <v>441</v>
      </c>
      <c r="K106" s="927">
        <v>21</v>
      </c>
      <c r="L106" s="927"/>
      <c r="M106" s="598" t="s">
        <v>525</v>
      </c>
      <c r="N106" s="598"/>
      <c r="O106" s="597" t="s">
        <v>441</v>
      </c>
      <c r="P106" s="927">
        <v>1</v>
      </c>
      <c r="Q106" s="927"/>
      <c r="R106" s="927" t="s">
        <v>442</v>
      </c>
      <c r="S106" s="927"/>
      <c r="T106" s="598"/>
      <c r="U106" s="635" t="s">
        <v>4</v>
      </c>
      <c r="V106" s="598"/>
      <c r="W106" s="598"/>
      <c r="X106" s="727">
        <f t="shared" si="7"/>
        <v>630000</v>
      </c>
      <c r="Y106" s="598"/>
      <c r="Z106" s="598"/>
      <c r="AA106" s="25"/>
      <c r="AD106" s="136"/>
    </row>
    <row r="107" spans="1:30" ht="16.5" customHeight="1">
      <c r="A107" s="115"/>
      <c r="B107" s="73"/>
      <c r="C107" s="625"/>
      <c r="D107" s="934"/>
      <c r="E107" s="332"/>
      <c r="F107" s="90"/>
      <c r="G107" s="605"/>
      <c r="H107" s="607" t="s">
        <v>668</v>
      </c>
      <c r="I107" s="602">
        <v>400000</v>
      </c>
      <c r="J107" s="603" t="s">
        <v>441</v>
      </c>
      <c r="K107" s="928">
        <v>2</v>
      </c>
      <c r="L107" s="928"/>
      <c r="M107" s="604" t="s">
        <v>570</v>
      </c>
      <c r="N107" s="604"/>
      <c r="O107" s="603"/>
      <c r="P107" s="928"/>
      <c r="Q107" s="928"/>
      <c r="R107" s="928"/>
      <c r="S107" s="928"/>
      <c r="T107" s="604"/>
      <c r="U107" s="634" t="s">
        <v>4</v>
      </c>
      <c r="V107" s="604"/>
      <c r="W107" s="604"/>
      <c r="X107" s="728">
        <f>I107*K107</f>
        <v>800000</v>
      </c>
      <c r="Y107" s="598"/>
      <c r="Z107" s="598"/>
      <c r="AA107" s="25"/>
      <c r="AD107" s="136"/>
    </row>
    <row r="108" spans="1:30" ht="16.5" customHeight="1">
      <c r="A108" s="63"/>
      <c r="B108" s="872" t="s">
        <v>96</v>
      </c>
      <c r="C108" s="64"/>
      <c r="D108" s="341"/>
      <c r="E108" s="90">
        <f>SUM(E109,,E112)</f>
        <v>2100</v>
      </c>
      <c r="F108" s="67">
        <v>2100</v>
      </c>
      <c r="G108" s="403">
        <f>E108-F108</f>
        <v>0</v>
      </c>
      <c r="H108" s="660"/>
      <c r="I108" s="162"/>
      <c r="J108" s="579"/>
      <c r="K108" s="579"/>
      <c r="L108" s="579"/>
      <c r="M108" s="579"/>
      <c r="N108" s="579"/>
      <c r="O108" s="579"/>
      <c r="P108" s="579"/>
      <c r="Q108" s="579"/>
      <c r="R108" s="579"/>
      <c r="S108" s="579"/>
      <c r="T108" s="579"/>
      <c r="U108" s="159"/>
      <c r="V108" s="159"/>
      <c r="W108" s="69"/>
      <c r="X108" s="121"/>
      <c r="Y108" s="80"/>
      <c r="Z108" s="80"/>
      <c r="AA108" s="25"/>
      <c r="AD108" s="83">
        <v>1650000</v>
      </c>
    </row>
    <row r="109" spans="1:30" ht="16.5" customHeight="1">
      <c r="A109" s="63"/>
      <c r="B109" s="867"/>
      <c r="C109" s="872" t="s">
        <v>97</v>
      </c>
      <c r="D109" s="337"/>
      <c r="E109" s="136">
        <f>E110</f>
        <v>900</v>
      </c>
      <c r="F109" s="77">
        <v>900</v>
      </c>
      <c r="G109" s="395">
        <f>E109-F109</f>
        <v>0</v>
      </c>
      <c r="H109" s="660"/>
      <c r="I109" s="162"/>
      <c r="J109" s="579"/>
      <c r="K109" s="579"/>
      <c r="L109" s="579"/>
      <c r="M109" s="579"/>
      <c r="N109" s="579"/>
      <c r="O109" s="579"/>
      <c r="P109" s="579"/>
      <c r="Q109" s="579"/>
      <c r="R109" s="579"/>
      <c r="S109" s="579"/>
      <c r="T109" s="579"/>
      <c r="U109" s="159"/>
      <c r="V109" s="159"/>
      <c r="W109" s="69"/>
      <c r="X109" s="121"/>
      <c r="Y109" s="80"/>
      <c r="Z109" s="80"/>
      <c r="AA109" s="25"/>
      <c r="AD109" s="90"/>
    </row>
    <row r="110" spans="1:30" ht="16.5" customHeight="1">
      <c r="A110" s="63"/>
      <c r="B110" s="73"/>
      <c r="C110" s="867"/>
      <c r="D110" s="933" t="s">
        <v>98</v>
      </c>
      <c r="E110" s="392">
        <f>SUM(X110:X111)/1000</f>
        <v>900</v>
      </c>
      <c r="F110" s="83">
        <v>900</v>
      </c>
      <c r="G110" s="477">
        <f>E110-F110</f>
        <v>0</v>
      </c>
      <c r="H110" s="654" t="s">
        <v>670</v>
      </c>
      <c r="I110" s="599">
        <v>450000</v>
      </c>
      <c r="J110" s="600" t="s">
        <v>441</v>
      </c>
      <c r="K110" s="945">
        <v>2</v>
      </c>
      <c r="L110" s="945"/>
      <c r="M110" s="601" t="s">
        <v>447</v>
      </c>
      <c r="N110" s="601"/>
      <c r="O110" s="600"/>
      <c r="P110" s="945"/>
      <c r="Q110" s="945"/>
      <c r="R110" s="945"/>
      <c r="S110" s="945"/>
      <c r="T110" s="601"/>
      <c r="U110" s="626" t="s">
        <v>4</v>
      </c>
      <c r="V110" s="601"/>
      <c r="W110" s="462"/>
      <c r="X110" s="595">
        <f>I110*K110</f>
        <v>900000</v>
      </c>
      <c r="Y110" s="535"/>
      <c r="Z110" s="535"/>
      <c r="AD110" s="85">
        <v>5500000</v>
      </c>
    </row>
    <row r="111" spans="1:30" ht="16.5" customHeight="1">
      <c r="A111" s="63"/>
      <c r="B111" s="73"/>
      <c r="C111" s="65"/>
      <c r="D111" s="934"/>
      <c r="E111" s="332"/>
      <c r="F111" s="90"/>
      <c r="G111" s="65"/>
      <c r="H111" s="619"/>
      <c r="I111" s="129"/>
      <c r="J111" s="639"/>
      <c r="K111" s="931"/>
      <c r="L111" s="931"/>
      <c r="M111" s="880"/>
      <c r="N111" s="880"/>
      <c r="O111" s="129"/>
      <c r="P111" s="647"/>
      <c r="Q111" s="647"/>
      <c r="R111" s="647"/>
      <c r="S111" s="647"/>
      <c r="T111" s="647"/>
      <c r="U111" s="634"/>
      <c r="V111" s="634"/>
      <c r="W111" s="59"/>
      <c r="X111" s="119">
        <f>I111*K111</f>
        <v>0</v>
      </c>
      <c r="Y111" s="80"/>
      <c r="Z111" s="80"/>
      <c r="AD111" s="83">
        <v>5500000</v>
      </c>
    </row>
    <row r="112" spans="1:30" ht="16.5" customHeight="1">
      <c r="A112" s="63"/>
      <c r="B112" s="73"/>
      <c r="C112" s="82" t="s">
        <v>232</v>
      </c>
      <c r="D112" s="343"/>
      <c r="E112" s="136">
        <f>E113</f>
        <v>1200</v>
      </c>
      <c r="F112" s="136">
        <v>1200</v>
      </c>
      <c r="G112" s="399">
        <f>E112-F112</f>
        <v>0</v>
      </c>
      <c r="H112" s="609"/>
      <c r="I112" s="6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69"/>
      <c r="X112" s="121"/>
      <c r="Y112" s="80"/>
      <c r="Z112" s="80"/>
      <c r="AA112" s="25" t="e">
        <f>#REF!/50</f>
        <v>#REF!</v>
      </c>
      <c r="AD112" s="90"/>
    </row>
    <row r="113" spans="1:30" ht="16.5" customHeight="1">
      <c r="A113" s="63"/>
      <c r="B113" s="73"/>
      <c r="C113" s="73"/>
      <c r="D113" s="872" t="s">
        <v>233</v>
      </c>
      <c r="E113" s="392">
        <f>SUM(X113:X115)/1000</f>
        <v>1200</v>
      </c>
      <c r="F113" s="83">
        <v>1200</v>
      </c>
      <c r="G113" s="399">
        <f>E113-F113</f>
        <v>0</v>
      </c>
      <c r="H113" s="636" t="s">
        <v>459</v>
      </c>
      <c r="I113" s="636">
        <v>150000</v>
      </c>
      <c r="J113" s="638" t="s">
        <v>3</v>
      </c>
      <c r="K113" s="946">
        <v>4</v>
      </c>
      <c r="L113" s="946"/>
      <c r="M113" s="946" t="s">
        <v>446</v>
      </c>
      <c r="N113" s="946"/>
      <c r="O113" s="638"/>
      <c r="P113" s="80"/>
      <c r="Q113" s="80"/>
      <c r="R113" s="643"/>
      <c r="S113" s="643"/>
      <c r="T113" s="643"/>
      <c r="U113" s="635" t="s">
        <v>4</v>
      </c>
      <c r="V113" s="635"/>
      <c r="W113" s="79"/>
      <c r="X113" s="118">
        <f>I113*K113</f>
        <v>600000</v>
      </c>
      <c r="Y113" s="80"/>
      <c r="Z113" s="80"/>
      <c r="AA113" s="25"/>
      <c r="AD113" s="85">
        <v>2200000</v>
      </c>
    </row>
    <row r="114" spans="1:30" ht="16.5" customHeight="1">
      <c r="A114" s="63"/>
      <c r="B114" s="73"/>
      <c r="C114" s="73"/>
      <c r="D114" s="867"/>
      <c r="E114" s="393"/>
      <c r="F114" s="85"/>
      <c r="G114" s="400"/>
      <c r="H114" s="636" t="s">
        <v>460</v>
      </c>
      <c r="I114" s="636">
        <v>100000</v>
      </c>
      <c r="J114" s="638" t="s">
        <v>3</v>
      </c>
      <c r="K114" s="946">
        <v>4</v>
      </c>
      <c r="L114" s="946"/>
      <c r="M114" s="946" t="s">
        <v>446</v>
      </c>
      <c r="N114" s="946"/>
      <c r="O114" s="638"/>
      <c r="P114" s="80"/>
      <c r="Q114" s="80"/>
      <c r="R114" s="643"/>
      <c r="S114" s="643"/>
      <c r="T114" s="643"/>
      <c r="U114" s="635" t="s">
        <v>4</v>
      </c>
      <c r="V114" s="635"/>
      <c r="W114" s="79"/>
      <c r="X114" s="118">
        <f aca="true" t="shared" si="8" ref="X114:X115">I114*K114</f>
        <v>400000</v>
      </c>
      <c r="Y114" s="80"/>
      <c r="Z114" s="80"/>
      <c r="AA114" s="25"/>
      <c r="AD114" s="85"/>
    </row>
    <row r="115" spans="1:30" ht="16.5" customHeight="1" thickBot="1">
      <c r="A115" s="100"/>
      <c r="B115" s="137"/>
      <c r="C115" s="137"/>
      <c r="D115" s="650"/>
      <c r="E115" s="394"/>
      <c r="F115" s="138"/>
      <c r="G115" s="622"/>
      <c r="H115" s="544" t="s">
        <v>461</v>
      </c>
      <c r="I115" s="544">
        <v>100000</v>
      </c>
      <c r="J115" s="653" t="s">
        <v>3</v>
      </c>
      <c r="K115" s="956">
        <v>2</v>
      </c>
      <c r="L115" s="956"/>
      <c r="M115" s="956" t="s">
        <v>446</v>
      </c>
      <c r="N115" s="956"/>
      <c r="O115" s="653"/>
      <c r="P115" s="170"/>
      <c r="Q115" s="170"/>
      <c r="R115" s="956"/>
      <c r="S115" s="956"/>
      <c r="T115" s="956"/>
      <c r="U115" s="255" t="s">
        <v>4</v>
      </c>
      <c r="V115" s="255"/>
      <c r="W115" s="139"/>
      <c r="X115" s="141">
        <f t="shared" si="8"/>
        <v>200000</v>
      </c>
      <c r="Y115" s="80"/>
      <c r="Z115" s="80"/>
      <c r="AA115" s="25"/>
      <c r="AD115" s="85"/>
    </row>
    <row r="116" spans="1:30" ht="17.25" customHeight="1">
      <c r="A116" s="101" t="str">
        <f>A5</f>
        <v>01.사무비</v>
      </c>
      <c r="B116" s="416" t="s">
        <v>10</v>
      </c>
      <c r="C116" s="546"/>
      <c r="D116" s="342"/>
      <c r="E116" s="195">
        <f>SUM(E117,E121,E132,E137,E146,E149)</f>
        <v>55760</v>
      </c>
      <c r="F116" s="390">
        <v>52760</v>
      </c>
      <c r="G116" s="401">
        <f>E116-F116</f>
        <v>3000</v>
      </c>
      <c r="H116" s="196"/>
      <c r="I116" s="547"/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586"/>
      <c r="U116" s="196"/>
      <c r="V116" s="196"/>
      <c r="W116" s="106"/>
      <c r="X116" s="120"/>
      <c r="Y116" s="80"/>
      <c r="Z116" s="80"/>
      <c r="AD116" s="85"/>
    </row>
    <row r="117" spans="1:30" ht="17.25" customHeight="1">
      <c r="A117" s="63"/>
      <c r="B117" s="507"/>
      <c r="C117" s="784" t="s">
        <v>99</v>
      </c>
      <c r="D117" s="337"/>
      <c r="E117" s="136">
        <f>E118</f>
        <v>3600</v>
      </c>
      <c r="F117" s="77">
        <v>3600</v>
      </c>
      <c r="G117" s="395">
        <f>E117-F117</f>
        <v>0</v>
      </c>
      <c r="H117" s="802"/>
      <c r="I117" s="95"/>
      <c r="J117" s="789"/>
      <c r="K117" s="789"/>
      <c r="L117" s="789"/>
      <c r="M117" s="789"/>
      <c r="N117" s="789"/>
      <c r="O117" s="789"/>
      <c r="P117" s="789"/>
      <c r="Q117" s="789"/>
      <c r="R117" s="789"/>
      <c r="S117" s="789"/>
      <c r="T117" s="789"/>
      <c r="U117" s="802"/>
      <c r="V117" s="802"/>
      <c r="W117" s="98"/>
      <c r="X117" s="92"/>
      <c r="Y117" s="80"/>
      <c r="Z117" s="80"/>
      <c r="AD117" s="85"/>
    </row>
    <row r="118" spans="1:30" ht="17.25" customHeight="1">
      <c r="A118" s="63"/>
      <c r="B118" s="507"/>
      <c r="C118" s="784"/>
      <c r="D118" s="340" t="s">
        <v>100</v>
      </c>
      <c r="E118" s="392">
        <f>SUM(X118:X120)/1000</f>
        <v>3600</v>
      </c>
      <c r="F118" s="83">
        <v>3600</v>
      </c>
      <c r="G118" s="432">
        <f>E118-F118</f>
        <v>0</v>
      </c>
      <c r="H118" s="610" t="s">
        <v>463</v>
      </c>
      <c r="I118" s="462">
        <v>1000000</v>
      </c>
      <c r="J118" s="600" t="s">
        <v>441</v>
      </c>
      <c r="K118" s="945">
        <v>1</v>
      </c>
      <c r="L118" s="945"/>
      <c r="M118" s="601" t="s">
        <v>458</v>
      </c>
      <c r="N118" s="601"/>
      <c r="O118" s="600" t="s">
        <v>441</v>
      </c>
      <c r="P118" s="945">
        <v>1</v>
      </c>
      <c r="Q118" s="945"/>
      <c r="R118" s="945" t="s">
        <v>446</v>
      </c>
      <c r="S118" s="945"/>
      <c r="T118" s="601"/>
      <c r="U118" s="802" t="s">
        <v>4</v>
      </c>
      <c r="V118" s="601"/>
      <c r="W118" s="98"/>
      <c r="X118" s="92">
        <f>I118*K118*P118</f>
        <v>1000000</v>
      </c>
      <c r="Y118" s="80"/>
      <c r="Z118" s="80"/>
      <c r="AD118" s="136">
        <v>3100000</v>
      </c>
    </row>
    <row r="119" spans="1:30" ht="17.25" customHeight="1">
      <c r="A119" s="63"/>
      <c r="B119" s="507"/>
      <c r="C119" s="784"/>
      <c r="D119" s="339"/>
      <c r="E119" s="393"/>
      <c r="F119" s="85"/>
      <c r="G119" s="396"/>
      <c r="H119" s="611" t="s">
        <v>464</v>
      </c>
      <c r="I119" s="535">
        <v>100000</v>
      </c>
      <c r="J119" s="597" t="s">
        <v>441</v>
      </c>
      <c r="K119" s="927">
        <v>10</v>
      </c>
      <c r="L119" s="927"/>
      <c r="M119" s="598" t="s">
        <v>458</v>
      </c>
      <c r="N119" s="598"/>
      <c r="O119" s="597" t="s">
        <v>441</v>
      </c>
      <c r="P119" s="927">
        <v>1</v>
      </c>
      <c r="Q119" s="927"/>
      <c r="R119" s="927" t="s">
        <v>446</v>
      </c>
      <c r="S119" s="927"/>
      <c r="T119" s="598"/>
      <c r="U119" s="762" t="s">
        <v>4</v>
      </c>
      <c r="V119" s="598"/>
      <c r="W119" s="79"/>
      <c r="X119" s="118">
        <f aca="true" t="shared" si="9" ref="X119:X120">I119*K119*P119</f>
        <v>1000000</v>
      </c>
      <c r="Y119" s="80"/>
      <c r="Z119" s="80"/>
      <c r="AD119" s="85"/>
    </row>
    <row r="120" spans="1:30" ht="17.25" customHeight="1">
      <c r="A120" s="63"/>
      <c r="B120" s="507"/>
      <c r="C120" s="784"/>
      <c r="D120" s="341"/>
      <c r="E120" s="332"/>
      <c r="F120" s="90"/>
      <c r="G120" s="511"/>
      <c r="H120" s="612" t="s">
        <v>462</v>
      </c>
      <c r="I120" s="129">
        <v>160000</v>
      </c>
      <c r="J120" s="774" t="s">
        <v>3</v>
      </c>
      <c r="K120" s="928">
        <v>10</v>
      </c>
      <c r="L120" s="928"/>
      <c r="M120" s="604" t="s">
        <v>458</v>
      </c>
      <c r="N120" s="604"/>
      <c r="O120" s="603" t="s">
        <v>441</v>
      </c>
      <c r="P120" s="928">
        <v>1</v>
      </c>
      <c r="Q120" s="928"/>
      <c r="R120" s="928" t="s">
        <v>446</v>
      </c>
      <c r="S120" s="928"/>
      <c r="T120" s="786"/>
      <c r="U120" s="754" t="s">
        <v>4</v>
      </c>
      <c r="V120" s="754"/>
      <c r="W120" s="59"/>
      <c r="X120" s="119">
        <f t="shared" si="9"/>
        <v>1600000</v>
      </c>
      <c r="Y120" s="80"/>
      <c r="Z120" s="80"/>
      <c r="AD120" s="85">
        <v>3100000</v>
      </c>
    </row>
    <row r="121" spans="1:30" ht="17.25" customHeight="1">
      <c r="A121" s="63"/>
      <c r="B121" s="507"/>
      <c r="C121" s="872" t="s">
        <v>101</v>
      </c>
      <c r="D121" s="336"/>
      <c r="E121" s="85">
        <f>E122</f>
        <v>10400</v>
      </c>
      <c r="F121" s="67">
        <v>7400</v>
      </c>
      <c r="G121" s="400">
        <f>E121-F121</f>
        <v>3000</v>
      </c>
      <c r="H121" s="609"/>
      <c r="I121" s="6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589"/>
      <c r="V121" s="159"/>
      <c r="W121" s="69"/>
      <c r="X121" s="121"/>
      <c r="Y121" s="80"/>
      <c r="Z121" s="80"/>
      <c r="AD121" s="85"/>
    </row>
    <row r="122" spans="1:30" ht="17.25" customHeight="1">
      <c r="A122" s="63"/>
      <c r="B122" s="507"/>
      <c r="C122" s="867"/>
      <c r="D122" s="933" t="s">
        <v>102</v>
      </c>
      <c r="E122" s="392">
        <f>SUM(X123:X131)/1000</f>
        <v>10400</v>
      </c>
      <c r="F122" s="83">
        <v>7400</v>
      </c>
      <c r="G122" s="398">
        <f>E122-F122</f>
        <v>3000</v>
      </c>
      <c r="H122" s="815" t="s">
        <v>713</v>
      </c>
      <c r="I122" s="923" t="s">
        <v>714</v>
      </c>
      <c r="J122" s="923"/>
      <c r="K122" s="923"/>
      <c r="L122" s="923"/>
      <c r="M122" s="923"/>
      <c r="N122" s="923"/>
      <c r="O122" s="923"/>
      <c r="P122" s="923"/>
      <c r="Q122" s="923"/>
      <c r="R122" s="923"/>
      <c r="S122" s="923"/>
      <c r="T122" s="923"/>
      <c r="U122" s="135" t="s">
        <v>715</v>
      </c>
      <c r="V122" s="135"/>
      <c r="W122" s="135"/>
      <c r="X122" s="683">
        <f>10400000-7400000</f>
        <v>3000000</v>
      </c>
      <c r="Y122" s="80"/>
      <c r="Z122" s="80"/>
      <c r="AD122" s="85"/>
    </row>
    <row r="123" spans="1:30" ht="17.25" customHeight="1" thickBot="1">
      <c r="A123" s="63"/>
      <c r="B123" s="507"/>
      <c r="C123" s="750"/>
      <c r="D123" s="950"/>
      <c r="E123" s="332"/>
      <c r="F123" s="90"/>
      <c r="G123" s="828"/>
      <c r="H123" s="818"/>
      <c r="I123" s="476"/>
      <c r="J123" s="603"/>
      <c r="K123" s="800"/>
      <c r="L123" s="800"/>
      <c r="M123" s="604"/>
      <c r="N123" s="604"/>
      <c r="O123" s="129"/>
      <c r="P123" s="129"/>
      <c r="Q123" s="129"/>
      <c r="R123" s="129"/>
      <c r="S123" s="129"/>
      <c r="T123" s="129"/>
      <c r="U123" s="754"/>
      <c r="V123" s="129"/>
      <c r="W123" s="129"/>
      <c r="X123" s="119"/>
      <c r="Y123" s="80"/>
      <c r="Z123" s="80"/>
      <c r="AD123" s="85"/>
    </row>
    <row r="124" spans="1:30" ht="17.25" customHeight="1">
      <c r="A124" s="63"/>
      <c r="B124" s="507"/>
      <c r="C124" s="750"/>
      <c r="D124" s="950"/>
      <c r="E124" s="393"/>
      <c r="F124" s="85"/>
      <c r="G124" s="402"/>
      <c r="H124" s="817" t="s">
        <v>465</v>
      </c>
      <c r="I124" s="535">
        <v>200000</v>
      </c>
      <c r="J124" s="597" t="s">
        <v>441</v>
      </c>
      <c r="K124" s="927">
        <v>12</v>
      </c>
      <c r="L124" s="927"/>
      <c r="M124" s="598" t="s">
        <v>472</v>
      </c>
      <c r="N124" s="598"/>
      <c r="O124" s="80"/>
      <c r="P124" s="80"/>
      <c r="Q124" s="80"/>
      <c r="R124" s="80"/>
      <c r="S124" s="80"/>
      <c r="T124" s="80"/>
      <c r="U124" s="762" t="s">
        <v>4</v>
      </c>
      <c r="V124" s="80"/>
      <c r="W124" s="80"/>
      <c r="X124" s="118">
        <f>I124*K124</f>
        <v>2400000</v>
      </c>
      <c r="Y124" s="80"/>
      <c r="Z124" s="80"/>
      <c r="AD124" s="85"/>
    </row>
    <row r="125" spans="1:30" ht="17.25" customHeight="1">
      <c r="A125" s="63"/>
      <c r="B125" s="507"/>
      <c r="C125" s="750"/>
      <c r="D125" s="950"/>
      <c r="E125" s="393"/>
      <c r="F125" s="85"/>
      <c r="G125" s="402"/>
      <c r="H125" s="80" t="s">
        <v>466</v>
      </c>
      <c r="I125" s="535">
        <v>100000</v>
      </c>
      <c r="J125" s="597" t="s">
        <v>441</v>
      </c>
      <c r="K125" s="927">
        <v>12</v>
      </c>
      <c r="L125" s="927"/>
      <c r="M125" s="598" t="s">
        <v>472</v>
      </c>
      <c r="N125" s="80"/>
      <c r="O125" s="80"/>
      <c r="P125" s="80"/>
      <c r="Q125" s="80"/>
      <c r="R125" s="80"/>
      <c r="S125" s="80"/>
      <c r="T125" s="80"/>
      <c r="U125" s="762" t="s">
        <v>4</v>
      </c>
      <c r="V125" s="80"/>
      <c r="W125" s="80"/>
      <c r="X125" s="118">
        <f aca="true" t="shared" si="10" ref="X125:X131">I125*K125</f>
        <v>1200000</v>
      </c>
      <c r="Y125" s="80"/>
      <c r="Z125" s="80"/>
      <c r="AD125" s="85"/>
    </row>
    <row r="126" spans="1:30" ht="17.25" customHeight="1">
      <c r="A126" s="63"/>
      <c r="B126" s="507"/>
      <c r="C126" s="750"/>
      <c r="D126" s="950"/>
      <c r="E126" s="393"/>
      <c r="F126" s="85"/>
      <c r="G126" s="402"/>
      <c r="H126" s="80" t="s">
        <v>467</v>
      </c>
      <c r="I126" s="535">
        <v>200000</v>
      </c>
      <c r="J126" s="597" t="s">
        <v>441</v>
      </c>
      <c r="K126" s="927">
        <v>4</v>
      </c>
      <c r="L126" s="927"/>
      <c r="M126" s="598" t="s">
        <v>447</v>
      </c>
      <c r="N126" s="80"/>
      <c r="O126" s="80"/>
      <c r="P126" s="80"/>
      <c r="Q126" s="80"/>
      <c r="R126" s="80"/>
      <c r="S126" s="80"/>
      <c r="T126" s="80"/>
      <c r="U126" s="762" t="s">
        <v>4</v>
      </c>
      <c r="V126" s="80"/>
      <c r="W126" s="80"/>
      <c r="X126" s="118">
        <f t="shared" si="10"/>
        <v>800000</v>
      </c>
      <c r="Y126" s="80"/>
      <c r="Z126" s="80"/>
      <c r="AD126" s="85"/>
    </row>
    <row r="127" spans="1:30" ht="17.25" customHeight="1">
      <c r="A127" s="63"/>
      <c r="B127" s="507"/>
      <c r="C127" s="750"/>
      <c r="D127" s="950"/>
      <c r="E127" s="393"/>
      <c r="F127" s="85"/>
      <c r="G127" s="402"/>
      <c r="H127" s="80" t="s">
        <v>468</v>
      </c>
      <c r="I127" s="535">
        <v>100000</v>
      </c>
      <c r="J127" s="597" t="s">
        <v>441</v>
      </c>
      <c r="K127" s="927">
        <v>4</v>
      </c>
      <c r="L127" s="927"/>
      <c r="M127" s="598" t="s">
        <v>447</v>
      </c>
      <c r="N127" s="80"/>
      <c r="O127" s="80"/>
      <c r="P127" s="80"/>
      <c r="Q127" s="80"/>
      <c r="R127" s="80"/>
      <c r="S127" s="80"/>
      <c r="T127" s="80"/>
      <c r="U127" s="762" t="s">
        <v>4</v>
      </c>
      <c r="V127" s="80"/>
      <c r="W127" s="80"/>
      <c r="X127" s="118">
        <f t="shared" si="10"/>
        <v>400000</v>
      </c>
      <c r="Y127" s="80"/>
      <c r="Z127" s="80"/>
      <c r="AD127" s="85"/>
    </row>
    <row r="128" spans="1:30" ht="17.25" customHeight="1">
      <c r="A128" s="63"/>
      <c r="B128" s="507"/>
      <c r="C128" s="750"/>
      <c r="D128" s="950"/>
      <c r="E128" s="393"/>
      <c r="F128" s="85"/>
      <c r="G128" s="402"/>
      <c r="H128" s="80" t="s">
        <v>469</v>
      </c>
      <c r="I128" s="535">
        <v>3344000</v>
      </c>
      <c r="J128" s="597" t="s">
        <v>441</v>
      </c>
      <c r="K128" s="927">
        <v>1</v>
      </c>
      <c r="L128" s="927"/>
      <c r="M128" s="598" t="s">
        <v>447</v>
      </c>
      <c r="N128" s="80"/>
      <c r="O128" s="80"/>
      <c r="P128" s="80"/>
      <c r="Q128" s="80"/>
      <c r="R128" s="80"/>
      <c r="S128" s="80"/>
      <c r="T128" s="80"/>
      <c r="U128" s="762" t="s">
        <v>4</v>
      </c>
      <c r="V128" s="80"/>
      <c r="W128" s="80"/>
      <c r="X128" s="118">
        <f t="shared" si="10"/>
        <v>3344000</v>
      </c>
      <c r="Y128" s="80"/>
      <c r="Z128" s="80"/>
      <c r="AD128" s="85"/>
    </row>
    <row r="129" spans="1:30" ht="17.25" customHeight="1">
      <c r="A129" s="63"/>
      <c r="B129" s="507"/>
      <c r="C129" s="750"/>
      <c r="D129" s="950"/>
      <c r="E129" s="393"/>
      <c r="F129" s="85"/>
      <c r="G129" s="402"/>
      <c r="H129" s="80" t="s">
        <v>470</v>
      </c>
      <c r="I129" s="535">
        <v>38000</v>
      </c>
      <c r="J129" s="597" t="s">
        <v>441</v>
      </c>
      <c r="K129" s="927">
        <v>12</v>
      </c>
      <c r="L129" s="927"/>
      <c r="M129" s="598" t="s">
        <v>472</v>
      </c>
      <c r="N129" s="80"/>
      <c r="O129" s="80"/>
      <c r="P129" s="80"/>
      <c r="Q129" s="80"/>
      <c r="R129" s="80"/>
      <c r="S129" s="80"/>
      <c r="T129" s="80"/>
      <c r="U129" s="762" t="s">
        <v>4</v>
      </c>
      <c r="V129" s="80"/>
      <c r="W129" s="80"/>
      <c r="X129" s="118">
        <f t="shared" si="10"/>
        <v>456000</v>
      </c>
      <c r="Y129" s="80"/>
      <c r="Z129" s="80"/>
      <c r="AD129" s="85"/>
    </row>
    <row r="130" spans="1:30" ht="17.25" customHeight="1">
      <c r="A130" s="63"/>
      <c r="B130" s="507"/>
      <c r="C130" s="750"/>
      <c r="D130" s="950"/>
      <c r="E130" s="393"/>
      <c r="F130" s="85"/>
      <c r="G130" s="402"/>
      <c r="H130" s="80" t="s">
        <v>486</v>
      </c>
      <c r="I130" s="535">
        <v>300000</v>
      </c>
      <c r="J130" s="597" t="s">
        <v>441</v>
      </c>
      <c r="K130" s="927">
        <v>2</v>
      </c>
      <c r="L130" s="927"/>
      <c r="M130" s="598" t="s">
        <v>447</v>
      </c>
      <c r="N130" s="80"/>
      <c r="O130" s="80"/>
      <c r="P130" s="80"/>
      <c r="Q130" s="80"/>
      <c r="R130" s="80"/>
      <c r="S130" s="80"/>
      <c r="T130" s="80"/>
      <c r="U130" s="762" t="s">
        <v>4</v>
      </c>
      <c r="V130" s="80"/>
      <c r="W130" s="80"/>
      <c r="X130" s="118">
        <f aca="true" t="shared" si="11" ref="X130">I130*K130</f>
        <v>600000</v>
      </c>
      <c r="Y130" s="80"/>
      <c r="Z130" s="80"/>
      <c r="AD130" s="85"/>
    </row>
    <row r="131" spans="1:30" ht="17.25" customHeight="1">
      <c r="A131" s="63"/>
      <c r="B131" s="507"/>
      <c r="C131" s="750"/>
      <c r="D131" s="950"/>
      <c r="E131" s="332"/>
      <c r="F131" s="90"/>
      <c r="G131" s="605"/>
      <c r="H131" s="129" t="s">
        <v>471</v>
      </c>
      <c r="I131" s="476">
        <v>100000</v>
      </c>
      <c r="J131" s="603" t="s">
        <v>441</v>
      </c>
      <c r="K131" s="928">
        <v>12</v>
      </c>
      <c r="L131" s="928"/>
      <c r="M131" s="604" t="s">
        <v>472</v>
      </c>
      <c r="N131" s="129"/>
      <c r="O131" s="129"/>
      <c r="P131" s="129"/>
      <c r="Q131" s="129"/>
      <c r="R131" s="129"/>
      <c r="S131" s="129"/>
      <c r="T131" s="129"/>
      <c r="U131" s="754" t="s">
        <v>4</v>
      </c>
      <c r="V131" s="129"/>
      <c r="W131" s="129"/>
      <c r="X131" s="119">
        <f t="shared" si="10"/>
        <v>1200000</v>
      </c>
      <c r="Y131" s="80"/>
      <c r="Z131" s="80"/>
      <c r="AD131" s="85"/>
    </row>
    <row r="132" spans="1:30" ht="17.25" customHeight="1">
      <c r="A132" s="63"/>
      <c r="B132" s="507"/>
      <c r="C132" s="872" t="s">
        <v>11</v>
      </c>
      <c r="D132" s="343"/>
      <c r="E132" s="85">
        <f>E133</f>
        <v>29160</v>
      </c>
      <c r="F132" s="75">
        <v>29160</v>
      </c>
      <c r="G132" s="400">
        <f>E132-F132</f>
        <v>0</v>
      </c>
      <c r="H132" s="79"/>
      <c r="I132" s="79"/>
      <c r="J132" s="762"/>
      <c r="K132" s="762"/>
      <c r="L132" s="762"/>
      <c r="M132" s="762"/>
      <c r="N132" s="762"/>
      <c r="O132" s="762"/>
      <c r="P132" s="762"/>
      <c r="Q132" s="762"/>
      <c r="R132" s="762"/>
      <c r="S132" s="762"/>
      <c r="T132" s="762"/>
      <c r="U132" s="159"/>
      <c r="V132" s="762"/>
      <c r="W132" s="79"/>
      <c r="X132" s="118"/>
      <c r="Y132" s="80"/>
      <c r="Z132" s="80"/>
      <c r="AD132" s="85"/>
    </row>
    <row r="133" spans="1:30" ht="17.25" customHeight="1">
      <c r="A133" s="63"/>
      <c r="B133" s="507"/>
      <c r="C133" s="867"/>
      <c r="D133" s="872" t="s">
        <v>103</v>
      </c>
      <c r="E133" s="83">
        <f>SUM(X134:X136)/1000</f>
        <v>29160</v>
      </c>
      <c r="F133" s="91">
        <v>29160</v>
      </c>
      <c r="G133" s="399">
        <f>E133-F133</f>
        <v>0</v>
      </c>
      <c r="H133" s="588" t="s">
        <v>473</v>
      </c>
      <c r="I133" s="462">
        <v>10000</v>
      </c>
      <c r="J133" s="600" t="s">
        <v>441</v>
      </c>
      <c r="K133" s="945">
        <v>12</v>
      </c>
      <c r="L133" s="945"/>
      <c r="M133" s="601" t="s">
        <v>472</v>
      </c>
      <c r="N133" s="601"/>
      <c r="O133" s="95"/>
      <c r="P133" s="95"/>
      <c r="Q133" s="95"/>
      <c r="R133" s="95"/>
      <c r="S133" s="95"/>
      <c r="T133" s="95"/>
      <c r="U133" s="762" t="s">
        <v>4</v>
      </c>
      <c r="V133" s="95"/>
      <c r="W133" s="95"/>
      <c r="X133" s="92">
        <f>I133*K133</f>
        <v>120000</v>
      </c>
      <c r="Y133" s="80"/>
      <c r="Z133" s="80"/>
      <c r="AD133" s="85"/>
    </row>
    <row r="134" spans="1:30" ht="17.25" customHeight="1">
      <c r="A134" s="63"/>
      <c r="B134" s="507"/>
      <c r="C134" s="784"/>
      <c r="D134" s="867"/>
      <c r="E134" s="85"/>
      <c r="F134" s="75"/>
      <c r="G134" s="74"/>
      <c r="H134" s="80" t="s">
        <v>474</v>
      </c>
      <c r="I134" s="535">
        <v>130000</v>
      </c>
      <c r="J134" s="597" t="s">
        <v>441</v>
      </c>
      <c r="K134" s="927">
        <v>12</v>
      </c>
      <c r="L134" s="927"/>
      <c r="M134" s="598" t="s">
        <v>472</v>
      </c>
      <c r="N134" s="80"/>
      <c r="O134" s="80"/>
      <c r="P134" s="80"/>
      <c r="Q134" s="80"/>
      <c r="R134" s="80"/>
      <c r="S134" s="80"/>
      <c r="T134" s="80"/>
      <c r="U134" s="762" t="s">
        <v>4</v>
      </c>
      <c r="V134" s="80"/>
      <c r="W134" s="80"/>
      <c r="X134" s="118">
        <f aca="true" t="shared" si="12" ref="X134:X136">I134*K134</f>
        <v>1560000</v>
      </c>
      <c r="Y134" s="80"/>
      <c r="Z134" s="80"/>
      <c r="AD134" s="136">
        <v>6600000</v>
      </c>
    </row>
    <row r="135" spans="1:30" ht="17.25" customHeight="1">
      <c r="A135" s="63"/>
      <c r="B135" s="507"/>
      <c r="C135" s="784"/>
      <c r="D135" s="760"/>
      <c r="E135" s="85"/>
      <c r="F135" s="75"/>
      <c r="G135" s="74"/>
      <c r="H135" s="80" t="s">
        <v>475</v>
      </c>
      <c r="I135" s="535">
        <v>2000000</v>
      </c>
      <c r="J135" s="597" t="s">
        <v>441</v>
      </c>
      <c r="K135" s="927">
        <v>12</v>
      </c>
      <c r="L135" s="927"/>
      <c r="M135" s="598" t="s">
        <v>472</v>
      </c>
      <c r="N135" s="80"/>
      <c r="O135" s="80"/>
      <c r="P135" s="80"/>
      <c r="Q135" s="80"/>
      <c r="R135" s="80"/>
      <c r="S135" s="80"/>
      <c r="T135" s="80"/>
      <c r="U135" s="762" t="s">
        <v>4</v>
      </c>
      <c r="V135" s="80"/>
      <c r="W135" s="80"/>
      <c r="X135" s="118">
        <f t="shared" si="12"/>
        <v>24000000</v>
      </c>
      <c r="Y135" s="80"/>
      <c r="Z135" s="80"/>
      <c r="AD135" s="83"/>
    </row>
    <row r="136" spans="1:30" ht="17.25" customHeight="1">
      <c r="A136" s="63"/>
      <c r="B136" s="507"/>
      <c r="C136" s="784"/>
      <c r="D136" s="760"/>
      <c r="E136" s="85"/>
      <c r="F136" s="75"/>
      <c r="G136" s="74"/>
      <c r="H136" s="80" t="s">
        <v>476</v>
      </c>
      <c r="I136" s="535">
        <v>300000</v>
      </c>
      <c r="J136" s="597" t="s">
        <v>441</v>
      </c>
      <c r="K136" s="927">
        <v>12</v>
      </c>
      <c r="L136" s="927"/>
      <c r="M136" s="598" t="s">
        <v>472</v>
      </c>
      <c r="N136" s="80"/>
      <c r="O136" s="80"/>
      <c r="P136" s="80"/>
      <c r="Q136" s="80"/>
      <c r="R136" s="80"/>
      <c r="S136" s="80"/>
      <c r="T136" s="80"/>
      <c r="U136" s="762" t="s">
        <v>4</v>
      </c>
      <c r="V136" s="80"/>
      <c r="W136" s="80"/>
      <c r="X136" s="118">
        <f t="shared" si="12"/>
        <v>3600000</v>
      </c>
      <c r="Y136" s="80"/>
      <c r="Z136" s="80"/>
      <c r="AD136" s="83"/>
    </row>
    <row r="137" spans="1:30" ht="17.25" customHeight="1">
      <c r="A137" s="63"/>
      <c r="B137" s="507"/>
      <c r="C137" s="872" t="s">
        <v>23</v>
      </c>
      <c r="D137" s="337"/>
      <c r="E137" s="136">
        <f>E138</f>
        <v>2600</v>
      </c>
      <c r="F137" s="77">
        <v>2600</v>
      </c>
      <c r="G137" s="395">
        <f>E137-F137</f>
        <v>0</v>
      </c>
      <c r="H137" s="159"/>
      <c r="I137" s="162"/>
      <c r="J137" s="579"/>
      <c r="K137" s="579"/>
      <c r="L137" s="579"/>
      <c r="M137" s="579"/>
      <c r="N137" s="579"/>
      <c r="O137" s="579"/>
      <c r="P137" s="579"/>
      <c r="Q137" s="579"/>
      <c r="R137" s="579"/>
      <c r="S137" s="579"/>
      <c r="T137" s="579"/>
      <c r="U137" s="159"/>
      <c r="V137" s="159"/>
      <c r="W137" s="69"/>
      <c r="X137" s="121"/>
      <c r="Y137" s="80"/>
      <c r="Z137" s="80"/>
      <c r="AD137" s="90"/>
    </row>
    <row r="138" spans="1:30" ht="17.25" customHeight="1">
      <c r="A138" s="63"/>
      <c r="B138" s="507"/>
      <c r="C138" s="867"/>
      <c r="D138" s="933" t="s">
        <v>104</v>
      </c>
      <c r="E138" s="85">
        <f>SUM(X138:X145)/1000</f>
        <v>2600</v>
      </c>
      <c r="F138" s="75">
        <v>2600</v>
      </c>
      <c r="G138" s="402">
        <f>E138-F138</f>
        <v>0</v>
      </c>
      <c r="H138" s="588" t="s">
        <v>477</v>
      </c>
      <c r="I138" s="462">
        <v>400000</v>
      </c>
      <c r="J138" s="600" t="s">
        <v>441</v>
      </c>
      <c r="K138" s="945">
        <v>1</v>
      </c>
      <c r="L138" s="945"/>
      <c r="M138" s="601" t="s">
        <v>447</v>
      </c>
      <c r="N138" s="601"/>
      <c r="O138" s="95"/>
      <c r="P138" s="95"/>
      <c r="Q138" s="95"/>
      <c r="R138" s="95"/>
      <c r="S138" s="95"/>
      <c r="T138" s="95"/>
      <c r="U138" s="762" t="s">
        <v>4</v>
      </c>
      <c r="V138" s="95"/>
      <c r="W138" s="95"/>
      <c r="X138" s="92">
        <f>I138*K138</f>
        <v>400000</v>
      </c>
      <c r="Y138" s="80"/>
      <c r="Z138" s="80"/>
      <c r="AD138" s="85">
        <v>0</v>
      </c>
    </row>
    <row r="139" spans="1:30" ht="17.25" customHeight="1">
      <c r="A139" s="63"/>
      <c r="B139" s="507"/>
      <c r="C139" s="784"/>
      <c r="D139" s="950"/>
      <c r="E139" s="85"/>
      <c r="F139" s="75"/>
      <c r="G139" s="760"/>
      <c r="H139" s="80" t="s">
        <v>478</v>
      </c>
      <c r="I139" s="535">
        <v>400000</v>
      </c>
      <c r="J139" s="597" t="s">
        <v>441</v>
      </c>
      <c r="K139" s="927">
        <v>1</v>
      </c>
      <c r="L139" s="927"/>
      <c r="M139" s="598" t="s">
        <v>447</v>
      </c>
      <c r="N139" s="80"/>
      <c r="O139" s="80"/>
      <c r="P139" s="80"/>
      <c r="Q139" s="80"/>
      <c r="R139" s="80"/>
      <c r="S139" s="80"/>
      <c r="T139" s="80"/>
      <c r="U139" s="762" t="s">
        <v>4</v>
      </c>
      <c r="V139" s="80"/>
      <c r="W139" s="80"/>
      <c r="X139" s="118">
        <f aca="true" t="shared" si="13" ref="X139:X141">I139*K139</f>
        <v>400000</v>
      </c>
      <c r="Y139" s="80"/>
      <c r="Z139" s="80"/>
      <c r="AD139" s="83"/>
    </row>
    <row r="140" spans="1:30" ht="17.25" customHeight="1" thickBot="1">
      <c r="A140" s="63"/>
      <c r="B140" s="507"/>
      <c r="C140" s="784"/>
      <c r="D140" s="782"/>
      <c r="E140" s="85"/>
      <c r="F140" s="75"/>
      <c r="G140" s="760"/>
      <c r="H140" s="80" t="s">
        <v>479</v>
      </c>
      <c r="I140" s="535">
        <v>20000</v>
      </c>
      <c r="J140" s="597" t="s">
        <v>441</v>
      </c>
      <c r="K140" s="927">
        <v>1</v>
      </c>
      <c r="L140" s="927"/>
      <c r="M140" s="598" t="s">
        <v>447</v>
      </c>
      <c r="N140" s="80"/>
      <c r="O140" s="80"/>
      <c r="P140" s="80"/>
      <c r="Q140" s="80"/>
      <c r="R140" s="80"/>
      <c r="S140" s="80"/>
      <c r="T140" s="80"/>
      <c r="U140" s="762" t="s">
        <v>4</v>
      </c>
      <c r="V140" s="80"/>
      <c r="W140" s="80"/>
      <c r="X140" s="118">
        <f t="shared" si="13"/>
        <v>20000</v>
      </c>
      <c r="Y140" s="80"/>
      <c r="Z140" s="80"/>
      <c r="AD140" s="85"/>
    </row>
    <row r="141" spans="1:30" ht="17.25" customHeight="1">
      <c r="A141" s="63"/>
      <c r="B141" s="507"/>
      <c r="C141" s="784"/>
      <c r="D141" s="339"/>
      <c r="E141" s="85"/>
      <c r="F141" s="75"/>
      <c r="G141" s="74"/>
      <c r="H141" s="80" t="s">
        <v>480</v>
      </c>
      <c r="I141" s="535">
        <v>1500000</v>
      </c>
      <c r="J141" s="597" t="s">
        <v>441</v>
      </c>
      <c r="K141" s="927">
        <v>1</v>
      </c>
      <c r="L141" s="927"/>
      <c r="M141" s="598" t="s">
        <v>482</v>
      </c>
      <c r="N141" s="80"/>
      <c r="O141" s="80"/>
      <c r="P141" s="80"/>
      <c r="Q141" s="80"/>
      <c r="R141" s="80"/>
      <c r="S141" s="80"/>
      <c r="T141" s="80"/>
      <c r="U141" s="762" t="s">
        <v>4</v>
      </c>
      <c r="V141" s="80"/>
      <c r="W141" s="80"/>
      <c r="X141" s="118">
        <f t="shared" si="13"/>
        <v>1500000</v>
      </c>
      <c r="Y141" s="80"/>
      <c r="Z141" s="80"/>
      <c r="AD141" s="246">
        <v>1900000</v>
      </c>
    </row>
    <row r="142" spans="1:30" ht="17.25" customHeight="1">
      <c r="A142" s="63"/>
      <c r="B142" s="507"/>
      <c r="C142" s="784"/>
      <c r="D142" s="339"/>
      <c r="E142" s="85"/>
      <c r="F142" s="75"/>
      <c r="G142" s="74"/>
      <c r="H142" s="80" t="s">
        <v>483</v>
      </c>
      <c r="I142" s="535">
        <v>100000</v>
      </c>
      <c r="J142" s="597" t="s">
        <v>441</v>
      </c>
      <c r="K142" s="927">
        <v>1</v>
      </c>
      <c r="L142" s="927"/>
      <c r="M142" s="598" t="s">
        <v>482</v>
      </c>
      <c r="N142" s="80"/>
      <c r="O142" s="80"/>
      <c r="P142" s="80"/>
      <c r="Q142" s="80"/>
      <c r="R142" s="80"/>
      <c r="S142" s="80"/>
      <c r="T142" s="80"/>
      <c r="U142" s="762" t="s">
        <v>4</v>
      </c>
      <c r="V142" s="80"/>
      <c r="W142" s="80"/>
      <c r="X142" s="118">
        <f aca="true" t="shared" si="14" ref="X142">I142*K142</f>
        <v>100000</v>
      </c>
      <c r="Y142" s="80"/>
      <c r="Z142" s="80"/>
      <c r="AD142" s="613"/>
    </row>
    <row r="143" spans="1:30" ht="17.25" customHeight="1">
      <c r="A143" s="63"/>
      <c r="B143" s="507"/>
      <c r="C143" s="784"/>
      <c r="D143" s="339"/>
      <c r="E143" s="85"/>
      <c r="F143" s="75"/>
      <c r="G143" s="74"/>
      <c r="H143" s="80" t="s">
        <v>481</v>
      </c>
      <c r="I143" s="80">
        <v>50000</v>
      </c>
      <c r="J143" s="597" t="s">
        <v>441</v>
      </c>
      <c r="K143" s="946">
        <v>1</v>
      </c>
      <c r="L143" s="946"/>
      <c r="M143" s="889" t="s">
        <v>445</v>
      </c>
      <c r="N143" s="889"/>
      <c r="O143" s="80"/>
      <c r="P143" s="787"/>
      <c r="Q143" s="787"/>
      <c r="R143" s="787"/>
      <c r="S143" s="787"/>
      <c r="T143" s="787"/>
      <c r="U143" s="762" t="s">
        <v>4</v>
      </c>
      <c r="V143" s="762"/>
      <c r="W143" s="79"/>
      <c r="X143" s="118">
        <f>I143*K143</f>
        <v>50000</v>
      </c>
      <c r="Y143" s="80"/>
      <c r="Z143" s="80"/>
      <c r="AD143" s="613"/>
    </row>
    <row r="144" spans="1:30" ht="17.25" customHeight="1">
      <c r="A144" s="63"/>
      <c r="B144" s="507"/>
      <c r="C144" s="784"/>
      <c r="D144" s="339"/>
      <c r="E144" s="85"/>
      <c r="F144" s="75"/>
      <c r="G144" s="74"/>
      <c r="H144" s="80" t="s">
        <v>484</v>
      </c>
      <c r="I144" s="80">
        <v>10000</v>
      </c>
      <c r="J144" s="597" t="s">
        <v>441</v>
      </c>
      <c r="K144" s="946">
        <v>1</v>
      </c>
      <c r="L144" s="946"/>
      <c r="M144" s="889" t="s">
        <v>445</v>
      </c>
      <c r="N144" s="889"/>
      <c r="O144" s="80"/>
      <c r="P144" s="787"/>
      <c r="Q144" s="787"/>
      <c r="R144" s="787"/>
      <c r="S144" s="787"/>
      <c r="T144" s="787"/>
      <c r="U144" s="762" t="s">
        <v>4</v>
      </c>
      <c r="V144" s="762"/>
      <c r="W144" s="79"/>
      <c r="X144" s="118">
        <f aca="true" t="shared" si="15" ref="X144:X145">I144*K144</f>
        <v>10000</v>
      </c>
      <c r="Y144" s="80"/>
      <c r="Z144" s="80"/>
      <c r="AD144" s="613"/>
    </row>
    <row r="145" spans="1:30" ht="17.25" customHeight="1">
      <c r="A145" s="63"/>
      <c r="B145" s="507"/>
      <c r="C145" s="784"/>
      <c r="D145" s="339"/>
      <c r="E145" s="85"/>
      <c r="F145" s="75"/>
      <c r="G145" s="74"/>
      <c r="H145" s="80" t="s">
        <v>485</v>
      </c>
      <c r="I145" s="80">
        <v>60000</v>
      </c>
      <c r="J145" s="597" t="s">
        <v>441</v>
      </c>
      <c r="K145" s="946">
        <v>2</v>
      </c>
      <c r="L145" s="946"/>
      <c r="M145" s="889" t="s">
        <v>445</v>
      </c>
      <c r="N145" s="889"/>
      <c r="O145" s="80"/>
      <c r="P145" s="787"/>
      <c r="Q145" s="787"/>
      <c r="R145" s="787"/>
      <c r="S145" s="787"/>
      <c r="T145" s="787"/>
      <c r="U145" s="762" t="s">
        <v>4</v>
      </c>
      <c r="V145" s="762"/>
      <c r="W145" s="79"/>
      <c r="X145" s="118">
        <f t="shared" si="15"/>
        <v>120000</v>
      </c>
      <c r="Y145" s="80"/>
      <c r="Z145" s="80"/>
      <c r="AD145" s="613"/>
    </row>
    <row r="146" spans="1:30" ht="24" customHeight="1">
      <c r="A146" s="449"/>
      <c r="B146" s="167"/>
      <c r="C146" s="783" t="s">
        <v>12</v>
      </c>
      <c r="D146" s="337"/>
      <c r="E146" s="136">
        <f>E147</f>
        <v>10000</v>
      </c>
      <c r="F146" s="77">
        <v>10000</v>
      </c>
      <c r="G146" s="395">
        <f>E146-F146</f>
        <v>0</v>
      </c>
      <c r="H146" s="69"/>
      <c r="I146" s="6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589"/>
      <c r="V146" s="159"/>
      <c r="W146" s="69"/>
      <c r="X146" s="121"/>
      <c r="Y146" s="80"/>
      <c r="Z146" s="80"/>
      <c r="AD146" s="83"/>
    </row>
    <row r="147" spans="1:30" ht="18" customHeight="1">
      <c r="A147" s="63"/>
      <c r="B147" s="507"/>
      <c r="C147" s="784"/>
      <c r="D147" s="933" t="s">
        <v>105</v>
      </c>
      <c r="E147" s="83">
        <f>SUM(X147:X148)/1000</f>
        <v>10000</v>
      </c>
      <c r="F147" s="91">
        <v>10000</v>
      </c>
      <c r="G147" s="446">
        <f>E147-F147</f>
        <v>0</v>
      </c>
      <c r="H147" s="649" t="s">
        <v>487</v>
      </c>
      <c r="I147" s="462">
        <v>800000</v>
      </c>
      <c r="J147" s="600" t="s">
        <v>441</v>
      </c>
      <c r="K147" s="945">
        <v>12</v>
      </c>
      <c r="L147" s="945"/>
      <c r="M147" s="601" t="s">
        <v>472</v>
      </c>
      <c r="N147" s="601"/>
      <c r="O147" s="95"/>
      <c r="P147" s="95"/>
      <c r="Q147" s="95"/>
      <c r="R147" s="95"/>
      <c r="S147" s="95"/>
      <c r="T147" s="95"/>
      <c r="U147" s="762" t="s">
        <v>4</v>
      </c>
      <c r="V147" s="95"/>
      <c r="W147" s="95"/>
      <c r="X147" s="92">
        <f>I147*K147</f>
        <v>9600000</v>
      </c>
      <c r="Y147" s="80"/>
      <c r="Z147" s="80"/>
      <c r="AD147" s="90"/>
    </row>
    <row r="148" spans="1:30" ht="18" customHeight="1">
      <c r="A148" s="63"/>
      <c r="B148" s="507"/>
      <c r="C148" s="65"/>
      <c r="D148" s="934"/>
      <c r="E148" s="90"/>
      <c r="F148" s="67"/>
      <c r="G148" s="615"/>
      <c r="H148" s="616" t="s">
        <v>488</v>
      </c>
      <c r="I148" s="476">
        <v>100000</v>
      </c>
      <c r="J148" s="603" t="s">
        <v>441</v>
      </c>
      <c r="K148" s="928">
        <v>4</v>
      </c>
      <c r="L148" s="928"/>
      <c r="M148" s="604" t="s">
        <v>570</v>
      </c>
      <c r="N148" s="129"/>
      <c r="O148" s="129"/>
      <c r="P148" s="129"/>
      <c r="Q148" s="129"/>
      <c r="R148" s="129"/>
      <c r="S148" s="129"/>
      <c r="T148" s="129"/>
      <c r="U148" s="754" t="s">
        <v>4</v>
      </c>
      <c r="V148" s="129"/>
      <c r="W148" s="129"/>
      <c r="X148" s="119">
        <f aca="true" t="shared" si="16" ref="X148">I148*K148</f>
        <v>400000</v>
      </c>
      <c r="Y148" s="80"/>
      <c r="Z148" s="80"/>
      <c r="AD148" s="85"/>
    </row>
    <row r="149" spans="1:30" ht="17.25" customHeight="1">
      <c r="A149" s="56"/>
      <c r="B149" s="507"/>
      <c r="C149" s="953" t="s">
        <v>598</v>
      </c>
      <c r="D149" s="336"/>
      <c r="E149" s="85">
        <f>E150</f>
        <v>0</v>
      </c>
      <c r="F149" s="75">
        <v>0</v>
      </c>
      <c r="G149" s="551">
        <f>E149-F149</f>
        <v>0</v>
      </c>
      <c r="H149" s="79"/>
      <c r="I149" s="79"/>
      <c r="J149" s="762"/>
      <c r="K149" s="762"/>
      <c r="L149" s="762"/>
      <c r="M149" s="762"/>
      <c r="N149" s="762"/>
      <c r="O149" s="762"/>
      <c r="P149" s="762"/>
      <c r="Q149" s="762"/>
      <c r="R149" s="762"/>
      <c r="S149" s="762"/>
      <c r="T149" s="762"/>
      <c r="U149" s="762"/>
      <c r="V149" s="762"/>
      <c r="W149" s="79"/>
      <c r="X149" s="118"/>
      <c r="Y149" s="80"/>
      <c r="Z149" s="80"/>
      <c r="AD149" s="83">
        <v>0</v>
      </c>
    </row>
    <row r="150" spans="1:30" ht="17.25" customHeight="1">
      <c r="A150" s="63"/>
      <c r="B150" s="507"/>
      <c r="C150" s="953"/>
      <c r="D150" s="933" t="s">
        <v>126</v>
      </c>
      <c r="E150" s="83"/>
      <c r="F150" s="98"/>
      <c r="G150" s="477">
        <f>E150-F150</f>
        <v>0</v>
      </c>
      <c r="H150" s="932"/>
      <c r="I150" s="932"/>
      <c r="J150" s="802"/>
      <c r="K150" s="802"/>
      <c r="L150" s="802"/>
      <c r="M150" s="802"/>
      <c r="N150" s="802"/>
      <c r="O150" s="802"/>
      <c r="P150" s="802"/>
      <c r="Q150" s="802"/>
      <c r="R150" s="802"/>
      <c r="S150" s="802"/>
      <c r="T150" s="802"/>
      <c r="U150" s="802"/>
      <c r="V150" s="802"/>
      <c r="W150" s="98"/>
      <c r="X150" s="92"/>
      <c r="Y150" s="80"/>
      <c r="Z150" s="80"/>
      <c r="AD150" s="90"/>
    </row>
    <row r="151" spans="1:30" ht="17.25" customHeight="1" thickBot="1">
      <c r="A151" s="100"/>
      <c r="B151" s="194"/>
      <c r="C151" s="137"/>
      <c r="D151" s="954"/>
      <c r="E151" s="138"/>
      <c r="F151" s="153"/>
      <c r="G151" s="240"/>
      <c r="H151" s="544"/>
      <c r="I151" s="544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139"/>
      <c r="X151" s="141"/>
      <c r="Y151" s="80"/>
      <c r="Z151" s="80"/>
      <c r="AD151" s="85">
        <v>800000</v>
      </c>
    </row>
    <row r="152" spans="1:30" ht="17.25" customHeight="1">
      <c r="A152" s="870" t="s">
        <v>146</v>
      </c>
      <c r="B152" s="353"/>
      <c r="C152" s="169"/>
      <c r="D152" s="342"/>
      <c r="E152" s="246">
        <f>E153</f>
        <v>58100</v>
      </c>
      <c r="F152" s="391">
        <v>26100</v>
      </c>
      <c r="G152" s="827">
        <f>E152-F152</f>
        <v>32000</v>
      </c>
      <c r="H152" s="657"/>
      <c r="I152" s="657"/>
      <c r="J152" s="657"/>
      <c r="K152" s="657"/>
      <c r="L152" s="657"/>
      <c r="M152" s="657"/>
      <c r="N152" s="657"/>
      <c r="O152" s="657"/>
      <c r="P152" s="657"/>
      <c r="Q152" s="657"/>
      <c r="R152" s="657"/>
      <c r="S152" s="657"/>
      <c r="T152" s="657"/>
      <c r="U152" s="657"/>
      <c r="V152" s="657"/>
      <c r="W152" s="657"/>
      <c r="X152" s="658"/>
      <c r="Y152" s="762"/>
      <c r="Z152" s="762"/>
      <c r="AD152" s="90"/>
    </row>
    <row r="153" spans="1:30" ht="17.25" customHeight="1">
      <c r="A153" s="871"/>
      <c r="B153" s="97" t="s">
        <v>147</v>
      </c>
      <c r="C153" s="76"/>
      <c r="D153" s="337"/>
      <c r="E153" s="136">
        <f>SUM(E154,E157,E175)</f>
        <v>58100</v>
      </c>
      <c r="F153" s="77">
        <v>26100</v>
      </c>
      <c r="G153" s="399">
        <f>E153-F153</f>
        <v>32000</v>
      </c>
      <c r="H153" s="159"/>
      <c r="I153" s="162"/>
      <c r="J153" s="579"/>
      <c r="K153" s="579"/>
      <c r="L153" s="579"/>
      <c r="M153" s="579"/>
      <c r="N153" s="579"/>
      <c r="O153" s="579"/>
      <c r="P153" s="579"/>
      <c r="Q153" s="579"/>
      <c r="R153" s="579"/>
      <c r="S153" s="579"/>
      <c r="T153" s="579"/>
      <c r="U153" s="159"/>
      <c r="V153" s="159"/>
      <c r="W153" s="69"/>
      <c r="X153" s="121"/>
      <c r="Y153" s="80"/>
      <c r="Z153" s="80"/>
      <c r="AD153" s="85">
        <v>1100000</v>
      </c>
    </row>
    <row r="154" spans="1:30" ht="17.25" customHeight="1">
      <c r="A154" s="63"/>
      <c r="B154" s="74"/>
      <c r="C154" s="74" t="s">
        <v>106</v>
      </c>
      <c r="D154" s="337"/>
      <c r="E154" s="136">
        <f>E155</f>
        <v>10000</v>
      </c>
      <c r="F154" s="77">
        <v>0</v>
      </c>
      <c r="G154" s="399">
        <f>E154-F154</f>
        <v>10000</v>
      </c>
      <c r="H154" s="159"/>
      <c r="I154" s="162"/>
      <c r="J154" s="579"/>
      <c r="K154" s="579"/>
      <c r="L154" s="579"/>
      <c r="M154" s="579"/>
      <c r="N154" s="579"/>
      <c r="O154" s="579"/>
      <c r="P154" s="579"/>
      <c r="Q154" s="579"/>
      <c r="R154" s="579"/>
      <c r="S154" s="579"/>
      <c r="T154" s="579"/>
      <c r="U154" s="159"/>
      <c r="V154" s="159"/>
      <c r="W154" s="69"/>
      <c r="X154" s="121"/>
      <c r="Y154" s="80"/>
      <c r="Z154" s="80"/>
      <c r="AD154" s="83">
        <v>4180000</v>
      </c>
    </row>
    <row r="155" spans="1:30" ht="17.25" customHeight="1">
      <c r="A155" s="63"/>
      <c r="B155" s="74"/>
      <c r="C155" s="74"/>
      <c r="D155" s="872" t="s">
        <v>107</v>
      </c>
      <c r="E155" s="83">
        <f>SUM(Y155)/1000</f>
        <v>10000</v>
      </c>
      <c r="F155" s="91">
        <v>0</v>
      </c>
      <c r="G155" s="399">
        <f>E155-F155</f>
        <v>10000</v>
      </c>
      <c r="H155" s="590" t="s">
        <v>729</v>
      </c>
      <c r="I155" s="462"/>
      <c r="J155" s="789"/>
      <c r="K155" s="789"/>
      <c r="L155" s="789"/>
      <c r="M155" s="789"/>
      <c r="N155" s="789"/>
      <c r="O155" s="789"/>
      <c r="P155" s="789"/>
      <c r="Q155" s="789"/>
      <c r="R155" s="789"/>
      <c r="S155" s="789"/>
      <c r="T155" s="789"/>
      <c r="U155" s="802"/>
      <c r="V155" s="802"/>
      <c r="W155" s="98"/>
      <c r="X155" s="92">
        <v>10000000</v>
      </c>
      <c r="Y155" s="80">
        <v>10000000</v>
      </c>
      <c r="Z155" s="80"/>
      <c r="AD155" s="85"/>
    </row>
    <row r="156" spans="1:30" ht="17.25" customHeight="1">
      <c r="A156" s="63"/>
      <c r="B156" s="74"/>
      <c r="C156" s="66"/>
      <c r="D156" s="875"/>
      <c r="E156" s="90"/>
      <c r="F156" s="67"/>
      <c r="G156" s="66"/>
      <c r="H156" s="614"/>
      <c r="I156" s="476"/>
      <c r="J156" s="476"/>
      <c r="K156" s="476"/>
      <c r="L156" s="476"/>
      <c r="M156" s="786"/>
      <c r="N156" s="786"/>
      <c r="O156" s="786"/>
      <c r="P156" s="786"/>
      <c r="Q156" s="786"/>
      <c r="R156" s="786"/>
      <c r="S156" s="786"/>
      <c r="T156" s="786"/>
      <c r="U156" s="754"/>
      <c r="V156" s="754"/>
      <c r="W156" s="59"/>
      <c r="X156" s="119"/>
      <c r="Y156" s="80"/>
      <c r="Z156" s="80"/>
      <c r="AD156" s="85"/>
    </row>
    <row r="157" spans="1:30" ht="17.25" customHeight="1">
      <c r="A157" s="63"/>
      <c r="B157" s="74"/>
      <c r="C157" s="899" t="s">
        <v>108</v>
      </c>
      <c r="D157" s="336"/>
      <c r="E157" s="85">
        <f>E158+E173</f>
        <v>43100</v>
      </c>
      <c r="F157" s="75">
        <v>21100</v>
      </c>
      <c r="G157" s="469">
        <f>E157-F157</f>
        <v>22000</v>
      </c>
      <c r="H157" s="609"/>
      <c r="I157" s="6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589"/>
      <c r="V157" s="159"/>
      <c r="W157" s="69"/>
      <c r="X157" s="121"/>
      <c r="Y157" s="80"/>
      <c r="Z157" s="80"/>
      <c r="AD157" s="85"/>
    </row>
    <row r="158" spans="1:30" ht="19.5" customHeight="1" thickBot="1">
      <c r="A158" s="63"/>
      <c r="B158" s="74"/>
      <c r="C158" s="899"/>
      <c r="D158" s="872" t="s">
        <v>109</v>
      </c>
      <c r="E158" s="83">
        <f>SUM(Y158:Y172)/1000</f>
        <v>43100</v>
      </c>
      <c r="F158" s="91">
        <v>21100</v>
      </c>
      <c r="G158" s="399">
        <f>E158-F158</f>
        <v>22000</v>
      </c>
      <c r="H158" s="788" t="s">
        <v>718</v>
      </c>
      <c r="I158" s="788" t="s">
        <v>731</v>
      </c>
      <c r="J158" s="802"/>
      <c r="K158" s="802"/>
      <c r="L158" s="802"/>
      <c r="M158" s="802"/>
      <c r="N158" s="802"/>
      <c r="O158" s="802"/>
      <c r="P158" s="802"/>
      <c r="Q158" s="802"/>
      <c r="R158" s="802"/>
      <c r="S158" s="802"/>
      <c r="T158" s="802"/>
      <c r="U158" s="591"/>
      <c r="V158" s="802"/>
      <c r="W158" s="98"/>
      <c r="X158" s="92">
        <f>43100000-21100000</f>
        <v>22000000</v>
      </c>
      <c r="Y158" s="80"/>
      <c r="Z158" s="80"/>
      <c r="AD158" s="138"/>
    </row>
    <row r="159" spans="1:30" ht="19.5" customHeight="1">
      <c r="A159" s="63"/>
      <c r="B159" s="74"/>
      <c r="C159" s="760"/>
      <c r="D159" s="867"/>
      <c r="E159" s="85"/>
      <c r="F159" s="75"/>
      <c r="G159" s="400"/>
      <c r="H159" s="767" t="s">
        <v>725</v>
      </c>
      <c r="I159" s="767">
        <v>5000000</v>
      </c>
      <c r="J159" s="597" t="s">
        <v>3</v>
      </c>
      <c r="K159" s="927">
        <v>2</v>
      </c>
      <c r="L159" s="927"/>
      <c r="M159" s="598" t="s">
        <v>726</v>
      </c>
      <c r="N159" s="598"/>
      <c r="O159" s="80"/>
      <c r="P159" s="80"/>
      <c r="Q159" s="80"/>
      <c r="R159" s="80"/>
      <c r="S159" s="80"/>
      <c r="T159" s="80"/>
      <c r="U159" s="762" t="s">
        <v>4</v>
      </c>
      <c r="V159" s="80"/>
      <c r="W159" s="80"/>
      <c r="X159" s="836">
        <f aca="true" t="shared" si="17" ref="X159">I159*K159</f>
        <v>10000000</v>
      </c>
      <c r="Y159" s="80">
        <f>X159</f>
        <v>10000000</v>
      </c>
      <c r="Z159" s="80"/>
      <c r="AD159" s="85"/>
    </row>
    <row r="160" spans="1:30" ht="19.5" customHeight="1">
      <c r="A160" s="63"/>
      <c r="B160" s="74"/>
      <c r="C160" s="760"/>
      <c r="D160" s="867"/>
      <c r="E160" s="85"/>
      <c r="F160" s="75"/>
      <c r="G160" s="400"/>
      <c r="H160" s="767" t="s">
        <v>727</v>
      </c>
      <c r="I160" s="767">
        <v>5000000</v>
      </c>
      <c r="J160" s="597" t="s">
        <v>3</v>
      </c>
      <c r="K160" s="927">
        <v>2</v>
      </c>
      <c r="L160" s="927"/>
      <c r="M160" s="598" t="s">
        <v>726</v>
      </c>
      <c r="N160" s="598"/>
      <c r="O160" s="80"/>
      <c r="P160" s="80"/>
      <c r="Q160" s="80"/>
      <c r="R160" s="80"/>
      <c r="S160" s="80"/>
      <c r="T160" s="80"/>
      <c r="U160" s="762" t="s">
        <v>4</v>
      </c>
      <c r="V160" s="80"/>
      <c r="W160" s="80"/>
      <c r="X160" s="836">
        <f aca="true" t="shared" si="18" ref="X160">I160*K160</f>
        <v>10000000</v>
      </c>
      <c r="Y160" s="80">
        <f aca="true" t="shared" si="19" ref="Y160:Y172">X160</f>
        <v>10000000</v>
      </c>
      <c r="Z160" s="80"/>
      <c r="AD160" s="85"/>
    </row>
    <row r="161" spans="1:30" ht="19.5" customHeight="1">
      <c r="A161" s="63"/>
      <c r="B161" s="74"/>
      <c r="C161" s="760"/>
      <c r="D161" s="867"/>
      <c r="E161" s="90"/>
      <c r="F161" s="67"/>
      <c r="G161" s="403"/>
      <c r="H161" s="619" t="s">
        <v>728</v>
      </c>
      <c r="I161" s="637">
        <v>500000</v>
      </c>
      <c r="J161" s="603" t="s">
        <v>3</v>
      </c>
      <c r="K161" s="928">
        <v>4</v>
      </c>
      <c r="L161" s="928"/>
      <c r="M161" s="604" t="s">
        <v>717</v>
      </c>
      <c r="N161" s="604"/>
      <c r="O161" s="835"/>
      <c r="P161" s="835"/>
      <c r="Q161" s="835"/>
      <c r="R161" s="835"/>
      <c r="S161" s="835"/>
      <c r="T161" s="835"/>
      <c r="U161" s="754" t="s">
        <v>4</v>
      </c>
      <c r="V161" s="835"/>
      <c r="W161" s="835"/>
      <c r="X161" s="837">
        <f aca="true" t="shared" si="20" ref="X161">I161*K161</f>
        <v>2000000</v>
      </c>
      <c r="Y161" s="80">
        <f t="shared" si="19"/>
        <v>2000000</v>
      </c>
      <c r="Z161" s="80"/>
      <c r="AD161" s="85"/>
    </row>
    <row r="162" spans="1:30" ht="19.5" customHeight="1">
      <c r="A162" s="63"/>
      <c r="B162" s="74"/>
      <c r="C162" s="760"/>
      <c r="D162" s="867"/>
      <c r="E162" s="85"/>
      <c r="F162" s="75"/>
      <c r="G162" s="400"/>
      <c r="H162" s="767" t="s">
        <v>730</v>
      </c>
      <c r="I162" s="767">
        <v>130000</v>
      </c>
      <c r="J162" s="597" t="s">
        <v>3</v>
      </c>
      <c r="K162" s="927">
        <v>10</v>
      </c>
      <c r="L162" s="927"/>
      <c r="M162" s="598" t="s">
        <v>717</v>
      </c>
      <c r="N162" s="598"/>
      <c r="O162" s="80"/>
      <c r="P162" s="80"/>
      <c r="Q162" s="80"/>
      <c r="R162" s="80"/>
      <c r="S162" s="80"/>
      <c r="T162" s="80"/>
      <c r="U162" s="762" t="s">
        <v>4</v>
      </c>
      <c r="V162" s="80"/>
      <c r="W162" s="80"/>
      <c r="X162" s="118">
        <f aca="true" t="shared" si="21" ref="X162">I162*K162</f>
        <v>1300000</v>
      </c>
      <c r="Y162" s="80">
        <f t="shared" si="19"/>
        <v>1300000</v>
      </c>
      <c r="Z162" s="80"/>
      <c r="AD162" s="85"/>
    </row>
    <row r="163" spans="1:30" ht="19.5" customHeight="1">
      <c r="A163" s="63"/>
      <c r="B163" s="74"/>
      <c r="C163" s="751"/>
      <c r="D163" s="875"/>
      <c r="E163" s="90"/>
      <c r="F163" s="67"/>
      <c r="G163" s="403"/>
      <c r="H163" s="476" t="s">
        <v>489</v>
      </c>
      <c r="I163" s="476">
        <v>400000</v>
      </c>
      <c r="J163" s="603" t="s">
        <v>3</v>
      </c>
      <c r="K163" s="928">
        <v>5</v>
      </c>
      <c r="L163" s="928"/>
      <c r="M163" s="604" t="s">
        <v>717</v>
      </c>
      <c r="N163" s="665"/>
      <c r="O163" s="665"/>
      <c r="P163" s="665"/>
      <c r="Q163" s="665"/>
      <c r="R163" s="665"/>
      <c r="S163" s="665"/>
      <c r="T163" s="665"/>
      <c r="U163" s="665"/>
      <c r="V163" s="129"/>
      <c r="W163" s="129"/>
      <c r="X163" s="119">
        <f>I163*K163</f>
        <v>2000000</v>
      </c>
      <c r="Y163" s="80">
        <f t="shared" si="19"/>
        <v>2000000</v>
      </c>
      <c r="Z163" s="80"/>
      <c r="AD163" s="85"/>
    </row>
    <row r="164" spans="1:30" ht="19.5" customHeight="1">
      <c r="A164" s="63"/>
      <c r="B164" s="74"/>
      <c r="C164" s="760"/>
      <c r="D164" s="782"/>
      <c r="E164" s="85"/>
      <c r="F164" s="75"/>
      <c r="G164" s="400"/>
      <c r="H164" s="534" t="s">
        <v>494</v>
      </c>
      <c r="I164" s="535">
        <v>400000</v>
      </c>
      <c r="J164" s="597" t="s">
        <v>441</v>
      </c>
      <c r="K164" s="927">
        <v>4</v>
      </c>
      <c r="L164" s="927"/>
      <c r="M164" s="598" t="s">
        <v>501</v>
      </c>
      <c r="N164" s="598"/>
      <c r="O164" s="80"/>
      <c r="P164" s="80"/>
      <c r="Q164" s="80"/>
      <c r="R164" s="80"/>
      <c r="S164" s="80"/>
      <c r="T164" s="80"/>
      <c r="U164" s="762" t="s">
        <v>4</v>
      </c>
      <c r="V164" s="80"/>
      <c r="W164" s="80"/>
      <c r="X164" s="118">
        <f aca="true" t="shared" si="22" ref="X164:X171">I164*K164</f>
        <v>1600000</v>
      </c>
      <c r="Y164" s="80">
        <f t="shared" si="19"/>
        <v>1600000</v>
      </c>
      <c r="Z164" s="80"/>
      <c r="AD164" s="85"/>
    </row>
    <row r="165" spans="1:30" ht="19.5" customHeight="1">
      <c r="A165" s="63"/>
      <c r="B165" s="74"/>
      <c r="C165" s="760"/>
      <c r="D165" s="782"/>
      <c r="E165" s="85"/>
      <c r="F165" s="75"/>
      <c r="G165" s="400"/>
      <c r="H165" s="534" t="s">
        <v>490</v>
      </c>
      <c r="I165" s="535">
        <v>500000</v>
      </c>
      <c r="J165" s="597" t="s">
        <v>441</v>
      </c>
      <c r="K165" s="927">
        <v>1</v>
      </c>
      <c r="L165" s="927"/>
      <c r="M165" s="598" t="s">
        <v>501</v>
      </c>
      <c r="N165" s="598"/>
      <c r="O165" s="80"/>
      <c r="P165" s="80"/>
      <c r="Q165" s="80"/>
      <c r="R165" s="80"/>
      <c r="S165" s="80"/>
      <c r="T165" s="80"/>
      <c r="U165" s="762" t="s">
        <v>4</v>
      </c>
      <c r="V165" s="80"/>
      <c r="W165" s="80"/>
      <c r="X165" s="118">
        <f t="shared" si="22"/>
        <v>500000</v>
      </c>
      <c r="Y165" s="80">
        <f t="shared" si="19"/>
        <v>500000</v>
      </c>
      <c r="Z165" s="80"/>
      <c r="AD165" s="85"/>
    </row>
    <row r="166" spans="1:30" ht="19.5" customHeight="1">
      <c r="A166" s="63"/>
      <c r="B166" s="74"/>
      <c r="C166" s="760"/>
      <c r="D166" s="782"/>
      <c r="E166" s="85"/>
      <c r="F166" s="75"/>
      <c r="G166" s="400"/>
      <c r="H166" s="534" t="s">
        <v>495</v>
      </c>
      <c r="I166" s="535">
        <v>300000</v>
      </c>
      <c r="J166" s="597" t="s">
        <v>441</v>
      </c>
      <c r="K166" s="927">
        <v>2</v>
      </c>
      <c r="L166" s="927"/>
      <c r="M166" s="598" t="s">
        <v>501</v>
      </c>
      <c r="N166" s="598"/>
      <c r="O166" s="80"/>
      <c r="P166" s="80"/>
      <c r="Q166" s="80"/>
      <c r="R166" s="80"/>
      <c r="S166" s="80"/>
      <c r="T166" s="80"/>
      <c r="U166" s="762" t="s">
        <v>4</v>
      </c>
      <c r="V166" s="80"/>
      <c r="W166" s="80"/>
      <c r="X166" s="118">
        <f t="shared" si="22"/>
        <v>600000</v>
      </c>
      <c r="Y166" s="80">
        <f t="shared" si="19"/>
        <v>600000</v>
      </c>
      <c r="Z166" s="80"/>
      <c r="AD166" s="85"/>
    </row>
    <row r="167" spans="1:30" ht="19.5" customHeight="1">
      <c r="A167" s="63"/>
      <c r="B167" s="74"/>
      <c r="C167" s="760"/>
      <c r="D167" s="782"/>
      <c r="E167" s="85"/>
      <c r="F167" s="75"/>
      <c r="G167" s="400"/>
      <c r="H167" s="534" t="s">
        <v>491</v>
      </c>
      <c r="I167" s="535">
        <v>100000</v>
      </c>
      <c r="J167" s="597" t="s">
        <v>441</v>
      </c>
      <c r="K167" s="927">
        <v>15</v>
      </c>
      <c r="L167" s="927"/>
      <c r="M167" s="598" t="s">
        <v>501</v>
      </c>
      <c r="N167" s="598"/>
      <c r="O167" s="80"/>
      <c r="P167" s="80"/>
      <c r="Q167" s="80"/>
      <c r="R167" s="80"/>
      <c r="S167" s="80"/>
      <c r="T167" s="80"/>
      <c r="U167" s="762" t="s">
        <v>4</v>
      </c>
      <c r="V167" s="80"/>
      <c r="W167" s="80"/>
      <c r="X167" s="118">
        <f t="shared" si="22"/>
        <v>1500000</v>
      </c>
      <c r="Y167" s="80">
        <f t="shared" si="19"/>
        <v>1500000</v>
      </c>
      <c r="Z167" s="80"/>
      <c r="AD167" s="85"/>
    </row>
    <row r="168" spans="1:30" ht="19.5" customHeight="1">
      <c r="A168" s="63"/>
      <c r="B168" s="74"/>
      <c r="C168" s="760"/>
      <c r="D168" s="782"/>
      <c r="E168" s="85"/>
      <c r="F168" s="75"/>
      <c r="G168" s="400"/>
      <c r="H168" s="534" t="s">
        <v>496</v>
      </c>
      <c r="I168" s="535">
        <v>2000000</v>
      </c>
      <c r="J168" s="597" t="s">
        <v>441</v>
      </c>
      <c r="K168" s="927">
        <v>1</v>
      </c>
      <c r="L168" s="927"/>
      <c r="M168" s="598" t="s">
        <v>499</v>
      </c>
      <c r="N168" s="598"/>
      <c r="O168" s="80"/>
      <c r="P168" s="80"/>
      <c r="Q168" s="80"/>
      <c r="R168" s="80"/>
      <c r="S168" s="80"/>
      <c r="T168" s="80"/>
      <c r="U168" s="762" t="s">
        <v>4</v>
      </c>
      <c r="V168" s="80"/>
      <c r="W168" s="80"/>
      <c r="X168" s="118">
        <f t="shared" si="22"/>
        <v>2000000</v>
      </c>
      <c r="Y168" s="80">
        <f t="shared" si="19"/>
        <v>2000000</v>
      </c>
      <c r="Z168" s="80"/>
      <c r="AD168" s="85"/>
    </row>
    <row r="169" spans="1:30" ht="19.5" customHeight="1">
      <c r="A169" s="63"/>
      <c r="B169" s="74"/>
      <c r="C169" s="760"/>
      <c r="D169" s="782"/>
      <c r="E169" s="85"/>
      <c r="F169" s="75"/>
      <c r="G169" s="400"/>
      <c r="H169" s="534" t="s">
        <v>497</v>
      </c>
      <c r="I169" s="535">
        <v>3500000</v>
      </c>
      <c r="J169" s="597" t="s">
        <v>441</v>
      </c>
      <c r="K169" s="927">
        <v>2</v>
      </c>
      <c r="L169" s="927"/>
      <c r="M169" s="598" t="s">
        <v>482</v>
      </c>
      <c r="N169" s="598"/>
      <c r="O169" s="80"/>
      <c r="P169" s="80"/>
      <c r="Q169" s="80"/>
      <c r="R169" s="80"/>
      <c r="S169" s="80"/>
      <c r="T169" s="80"/>
      <c r="U169" s="762" t="s">
        <v>4</v>
      </c>
      <c r="V169" s="80"/>
      <c r="W169" s="80"/>
      <c r="X169" s="118">
        <f t="shared" si="22"/>
        <v>7000000</v>
      </c>
      <c r="Y169" s="80">
        <f t="shared" si="19"/>
        <v>7000000</v>
      </c>
      <c r="Z169" s="80"/>
      <c r="AD169" s="85"/>
    </row>
    <row r="170" spans="1:30" ht="19.5" customHeight="1">
      <c r="A170" s="63"/>
      <c r="B170" s="74"/>
      <c r="C170" s="760"/>
      <c r="D170" s="782"/>
      <c r="E170" s="85"/>
      <c r="F170" s="75"/>
      <c r="G170" s="400"/>
      <c r="H170" s="534" t="s">
        <v>492</v>
      </c>
      <c r="I170" s="535">
        <v>200000</v>
      </c>
      <c r="J170" s="597" t="s">
        <v>441</v>
      </c>
      <c r="K170" s="927">
        <v>13</v>
      </c>
      <c r="L170" s="927"/>
      <c r="M170" s="598" t="s">
        <v>498</v>
      </c>
      <c r="N170" s="598"/>
      <c r="O170" s="80"/>
      <c r="P170" s="80"/>
      <c r="Q170" s="80"/>
      <c r="R170" s="80"/>
      <c r="S170" s="80"/>
      <c r="T170" s="80"/>
      <c r="U170" s="762" t="s">
        <v>4</v>
      </c>
      <c r="V170" s="80"/>
      <c r="W170" s="80"/>
      <c r="X170" s="118">
        <f t="shared" si="22"/>
        <v>2600000</v>
      </c>
      <c r="Y170" s="80">
        <f t="shared" si="19"/>
        <v>2600000</v>
      </c>
      <c r="Z170" s="80"/>
      <c r="AD170" s="85"/>
    </row>
    <row r="171" spans="1:30" ht="19.5" customHeight="1" thickBot="1">
      <c r="A171" s="63"/>
      <c r="B171" s="74"/>
      <c r="C171" s="760"/>
      <c r="D171" s="782"/>
      <c r="E171" s="85"/>
      <c r="F171" s="75"/>
      <c r="G171" s="400"/>
      <c r="H171" s="534" t="s">
        <v>493</v>
      </c>
      <c r="I171" s="535">
        <v>200000</v>
      </c>
      <c r="J171" s="597" t="s">
        <v>441</v>
      </c>
      <c r="K171" s="927">
        <v>5</v>
      </c>
      <c r="L171" s="927"/>
      <c r="M171" s="598" t="s">
        <v>500</v>
      </c>
      <c r="N171" s="598"/>
      <c r="O171" s="80"/>
      <c r="P171" s="80"/>
      <c r="Q171" s="80"/>
      <c r="R171" s="80"/>
      <c r="S171" s="80"/>
      <c r="T171" s="80"/>
      <c r="U171" s="762" t="s">
        <v>4</v>
      </c>
      <c r="V171" s="80"/>
      <c r="W171" s="80"/>
      <c r="X171" s="118">
        <f t="shared" si="22"/>
        <v>1000000</v>
      </c>
      <c r="Y171" s="80">
        <f t="shared" si="19"/>
        <v>1000000</v>
      </c>
      <c r="Z171" s="80"/>
      <c r="AD171" s="85"/>
    </row>
    <row r="172" spans="1:30" ht="19.5" customHeight="1">
      <c r="A172" s="115"/>
      <c r="B172" s="784"/>
      <c r="C172" s="65"/>
      <c r="D172" s="781"/>
      <c r="E172" s="90"/>
      <c r="F172" s="67"/>
      <c r="G172" s="765"/>
      <c r="H172" s="637" t="s">
        <v>502</v>
      </c>
      <c r="I172" s="129">
        <v>250000</v>
      </c>
      <c r="J172" s="603" t="s">
        <v>441</v>
      </c>
      <c r="K172" s="931">
        <v>4</v>
      </c>
      <c r="L172" s="931"/>
      <c r="M172" s="931" t="s">
        <v>7</v>
      </c>
      <c r="N172" s="931"/>
      <c r="O172" s="129"/>
      <c r="P172" s="786"/>
      <c r="Q172" s="786"/>
      <c r="R172" s="786"/>
      <c r="S172" s="786"/>
      <c r="T172" s="786"/>
      <c r="U172" s="754" t="s">
        <v>4</v>
      </c>
      <c r="V172" s="754"/>
      <c r="W172" s="59"/>
      <c r="X172" s="119">
        <f>I172*K172</f>
        <v>1000000</v>
      </c>
      <c r="Y172" s="80">
        <f t="shared" si="19"/>
        <v>1000000</v>
      </c>
      <c r="Z172" s="80"/>
      <c r="AD172" s="235">
        <v>83040930</v>
      </c>
    </row>
    <row r="173" spans="1:30" ht="17.25" customHeight="1">
      <c r="A173" s="359"/>
      <c r="B173" s="358"/>
      <c r="C173" s="980" t="str">
        <f>C157</f>
        <v>212.자산취득비</v>
      </c>
      <c r="D173" s="867" t="s">
        <v>127</v>
      </c>
      <c r="E173" s="85">
        <f>X174/1000</f>
        <v>0</v>
      </c>
      <c r="F173" s="75">
        <v>0</v>
      </c>
      <c r="G173" s="400"/>
      <c r="H173" s="908"/>
      <c r="I173" s="908"/>
      <c r="J173" s="908"/>
      <c r="K173" s="908"/>
      <c r="L173" s="908"/>
      <c r="M173" s="908"/>
      <c r="N173" s="762"/>
      <c r="O173" s="762"/>
      <c r="P173" s="762"/>
      <c r="Q173" s="762"/>
      <c r="R173" s="762"/>
      <c r="S173" s="762"/>
      <c r="T173" s="762"/>
      <c r="U173" s="587"/>
      <c r="V173" s="762"/>
      <c r="W173" s="79"/>
      <c r="X173" s="118">
        <f>X174</f>
        <v>0</v>
      </c>
      <c r="Y173" s="80"/>
      <c r="Z173" s="80"/>
      <c r="AD173" s="136">
        <v>69510930</v>
      </c>
    </row>
    <row r="174" spans="1:30" ht="17.25" customHeight="1">
      <c r="A174" s="359"/>
      <c r="B174" s="358"/>
      <c r="C174" s="981"/>
      <c r="D174" s="875"/>
      <c r="E174" s="90"/>
      <c r="F174" s="67"/>
      <c r="G174" s="66"/>
      <c r="H174" s="754"/>
      <c r="I174" s="129"/>
      <c r="J174" s="786"/>
      <c r="K174" s="931"/>
      <c r="L174" s="931"/>
      <c r="M174" s="931"/>
      <c r="N174" s="931"/>
      <c r="O174" s="931"/>
      <c r="P174" s="786"/>
      <c r="Q174" s="786"/>
      <c r="R174" s="786"/>
      <c r="S174" s="786"/>
      <c r="T174" s="786"/>
      <c r="U174" s="754"/>
      <c r="V174" s="754"/>
      <c r="W174" s="59"/>
      <c r="X174" s="119">
        <f>I174*K174</f>
        <v>0</v>
      </c>
      <c r="Y174" s="80"/>
      <c r="Z174" s="80"/>
      <c r="AD174" s="136">
        <v>42390930</v>
      </c>
    </row>
    <row r="175" spans="1:30" ht="17.25" customHeight="1">
      <c r="A175" s="979"/>
      <c r="B175" s="782"/>
      <c r="C175" s="898" t="s">
        <v>13</v>
      </c>
      <c r="D175" s="337"/>
      <c r="E175" s="136">
        <f>E176</f>
        <v>5000</v>
      </c>
      <c r="F175" s="77">
        <v>5000</v>
      </c>
      <c r="G175" s="406">
        <f>E175-F175</f>
        <v>0</v>
      </c>
      <c r="H175" s="69"/>
      <c r="I175" s="6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69"/>
      <c r="X175" s="121"/>
      <c r="Y175" s="80"/>
      <c r="Z175" s="80"/>
      <c r="AD175" s="85">
        <v>37300000</v>
      </c>
    </row>
    <row r="176" spans="1:30" ht="17.25" customHeight="1">
      <c r="A176" s="979"/>
      <c r="B176" s="782"/>
      <c r="C176" s="899"/>
      <c r="D176" s="872" t="s">
        <v>110</v>
      </c>
      <c r="E176" s="83">
        <f>SUM(X176:X181)/1000</f>
        <v>5000</v>
      </c>
      <c r="F176" s="91">
        <v>5000</v>
      </c>
      <c r="G176" s="400">
        <f>E176-F176</f>
        <v>0</v>
      </c>
      <c r="H176" s="588" t="s">
        <v>503</v>
      </c>
      <c r="I176" s="462">
        <v>132000</v>
      </c>
      <c r="J176" s="600" t="s">
        <v>441</v>
      </c>
      <c r="K176" s="945">
        <v>12</v>
      </c>
      <c r="L176" s="945"/>
      <c r="M176" s="601" t="s">
        <v>472</v>
      </c>
      <c r="N176" s="601"/>
      <c r="O176" s="95"/>
      <c r="P176" s="95"/>
      <c r="Q176" s="95"/>
      <c r="R176" s="95"/>
      <c r="S176" s="95"/>
      <c r="T176" s="95"/>
      <c r="U176" s="762" t="s">
        <v>4</v>
      </c>
      <c r="V176" s="95"/>
      <c r="W176" s="95"/>
      <c r="X176" s="92">
        <f>I176*K176</f>
        <v>1584000</v>
      </c>
      <c r="Y176" s="80"/>
      <c r="Z176" s="80"/>
      <c r="AD176" s="85"/>
    </row>
    <row r="177" spans="1:30" ht="17.25" customHeight="1">
      <c r="A177" s="63"/>
      <c r="B177" s="74"/>
      <c r="C177" s="760"/>
      <c r="D177" s="867"/>
      <c r="E177" s="85"/>
      <c r="F177" s="75"/>
      <c r="G177" s="760"/>
      <c r="H177" s="80" t="s">
        <v>504</v>
      </c>
      <c r="I177" s="535">
        <v>50000</v>
      </c>
      <c r="J177" s="597" t="s">
        <v>441</v>
      </c>
      <c r="K177" s="927">
        <v>10</v>
      </c>
      <c r="L177" s="927"/>
      <c r="M177" s="598" t="s">
        <v>447</v>
      </c>
      <c r="N177" s="80"/>
      <c r="O177" s="80"/>
      <c r="P177" s="80"/>
      <c r="Q177" s="80"/>
      <c r="R177" s="80"/>
      <c r="S177" s="80"/>
      <c r="T177" s="80"/>
      <c r="U177" s="762" t="s">
        <v>4</v>
      </c>
      <c r="V177" s="80"/>
      <c r="W177" s="80"/>
      <c r="X177" s="118">
        <f aca="true" t="shared" si="23" ref="X177:X181">I177*K177</f>
        <v>500000</v>
      </c>
      <c r="Y177" s="80"/>
      <c r="Z177" s="80"/>
      <c r="AD177" s="85"/>
    </row>
    <row r="178" spans="1:30" ht="17.25" customHeight="1">
      <c r="A178" s="63"/>
      <c r="B178" s="74"/>
      <c r="C178" s="760"/>
      <c r="D178" s="782"/>
      <c r="E178" s="85"/>
      <c r="F178" s="75"/>
      <c r="G178" s="760"/>
      <c r="H178" s="80" t="s">
        <v>506</v>
      </c>
      <c r="I178" s="535">
        <v>476000</v>
      </c>
      <c r="J178" s="597" t="s">
        <v>441</v>
      </c>
      <c r="K178" s="927">
        <v>1</v>
      </c>
      <c r="L178" s="927"/>
      <c r="M178" s="598" t="s">
        <v>447</v>
      </c>
      <c r="N178" s="80"/>
      <c r="O178" s="80"/>
      <c r="P178" s="80"/>
      <c r="Q178" s="80"/>
      <c r="R178" s="80"/>
      <c r="S178" s="80"/>
      <c r="T178" s="80"/>
      <c r="U178" s="762" t="s">
        <v>4</v>
      </c>
      <c r="V178" s="80"/>
      <c r="W178" s="80"/>
      <c r="X178" s="118">
        <f t="shared" si="23"/>
        <v>476000</v>
      </c>
      <c r="Y178" s="80"/>
      <c r="Z178" s="80"/>
      <c r="AD178" s="85"/>
    </row>
    <row r="179" spans="1:30" ht="17.25" customHeight="1">
      <c r="A179" s="63"/>
      <c r="B179" s="74"/>
      <c r="C179" s="760"/>
      <c r="D179" s="782"/>
      <c r="E179" s="85"/>
      <c r="F179" s="75"/>
      <c r="G179" s="760"/>
      <c r="H179" s="80" t="s">
        <v>505</v>
      </c>
      <c r="I179" s="535">
        <v>300000</v>
      </c>
      <c r="J179" s="597" t="s">
        <v>441</v>
      </c>
      <c r="K179" s="927">
        <v>2</v>
      </c>
      <c r="L179" s="927"/>
      <c r="M179" s="598" t="s">
        <v>447</v>
      </c>
      <c r="N179" s="80"/>
      <c r="O179" s="80"/>
      <c r="P179" s="80"/>
      <c r="Q179" s="80"/>
      <c r="R179" s="80"/>
      <c r="S179" s="80"/>
      <c r="T179" s="80"/>
      <c r="U179" s="762" t="s">
        <v>4</v>
      </c>
      <c r="V179" s="80"/>
      <c r="W179" s="80"/>
      <c r="X179" s="118">
        <f t="shared" si="23"/>
        <v>600000</v>
      </c>
      <c r="Y179" s="80"/>
      <c r="Z179" s="80"/>
      <c r="AD179" s="85"/>
    </row>
    <row r="180" spans="1:30" ht="17.25" customHeight="1">
      <c r="A180" s="63"/>
      <c r="B180" s="74"/>
      <c r="C180" s="760"/>
      <c r="D180" s="782"/>
      <c r="E180" s="85"/>
      <c r="F180" s="75"/>
      <c r="G180" s="760"/>
      <c r="H180" s="80" t="s">
        <v>531</v>
      </c>
      <c r="I180" s="535">
        <v>400000</v>
      </c>
      <c r="J180" s="597" t="s">
        <v>441</v>
      </c>
      <c r="K180" s="927">
        <v>4</v>
      </c>
      <c r="L180" s="927"/>
      <c r="M180" s="598" t="s">
        <v>532</v>
      </c>
      <c r="N180" s="80"/>
      <c r="O180" s="80"/>
      <c r="P180" s="80"/>
      <c r="Q180" s="80"/>
      <c r="R180" s="80"/>
      <c r="S180" s="80"/>
      <c r="T180" s="80"/>
      <c r="U180" s="762" t="s">
        <v>4</v>
      </c>
      <c r="V180" s="80"/>
      <c r="W180" s="80"/>
      <c r="X180" s="118">
        <f aca="true" t="shared" si="24" ref="X180">I180*K180</f>
        <v>1600000</v>
      </c>
      <c r="Y180" s="80"/>
      <c r="Z180" s="80"/>
      <c r="AD180" s="85"/>
    </row>
    <row r="181" spans="1:30" ht="17.25" customHeight="1" thickBot="1">
      <c r="A181" s="63"/>
      <c r="B181" s="74"/>
      <c r="C181" s="74"/>
      <c r="D181" s="782"/>
      <c r="E181" s="85"/>
      <c r="F181" s="75"/>
      <c r="G181" s="760"/>
      <c r="H181" s="763" t="s">
        <v>326</v>
      </c>
      <c r="I181" s="535">
        <v>120000</v>
      </c>
      <c r="J181" s="597" t="s">
        <v>441</v>
      </c>
      <c r="K181" s="927">
        <v>2</v>
      </c>
      <c r="L181" s="927"/>
      <c r="M181" s="598" t="s">
        <v>447</v>
      </c>
      <c r="N181" s="80"/>
      <c r="O181" s="80"/>
      <c r="P181" s="80"/>
      <c r="Q181" s="80"/>
      <c r="R181" s="80"/>
      <c r="S181" s="80"/>
      <c r="T181" s="80"/>
      <c r="U181" s="762" t="s">
        <v>4</v>
      </c>
      <c r="V181" s="762"/>
      <c r="W181" s="79"/>
      <c r="X181" s="118">
        <f t="shared" si="23"/>
        <v>240000</v>
      </c>
      <c r="Y181" s="80"/>
      <c r="Z181" s="80"/>
      <c r="AD181" s="85"/>
    </row>
    <row r="182" spans="1:30" ht="17.25" customHeight="1">
      <c r="A182" s="101" t="s">
        <v>145</v>
      </c>
      <c r="B182" s="623"/>
      <c r="C182" s="546"/>
      <c r="D182" s="548"/>
      <c r="E182" s="235">
        <f>SUM(E183,E223,E239)</f>
        <v>99396.12</v>
      </c>
      <c r="F182" s="104">
        <v>99361.92</v>
      </c>
      <c r="G182" s="405">
        <f>E182-F182</f>
        <v>34.19999999999709</v>
      </c>
      <c r="H182" s="624"/>
      <c r="I182" s="624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06"/>
      <c r="X182" s="120"/>
      <c r="Y182" s="80"/>
      <c r="Z182" s="80"/>
      <c r="AD182" s="85"/>
    </row>
    <row r="183" spans="1:30" ht="17.25" customHeight="1" thickBot="1">
      <c r="A183" s="63"/>
      <c r="B183" s="97" t="s">
        <v>448</v>
      </c>
      <c r="C183" s="97"/>
      <c r="D183" s="337"/>
      <c r="E183" s="136">
        <f>SUM(E184,E194,E201,E205,E208,E211,E214,E217,E220)</f>
        <v>77566.12</v>
      </c>
      <c r="F183" s="77">
        <v>77531.92</v>
      </c>
      <c r="G183" s="395">
        <f>E183-F183</f>
        <v>34.19999999999709</v>
      </c>
      <c r="H183" s="159"/>
      <c r="I183" s="162"/>
      <c r="J183" s="579"/>
      <c r="K183" s="579"/>
      <c r="L183" s="579"/>
      <c r="M183" s="579"/>
      <c r="N183" s="579"/>
      <c r="O183" s="579"/>
      <c r="P183" s="579"/>
      <c r="Q183" s="579"/>
      <c r="R183" s="579"/>
      <c r="S183" s="579"/>
      <c r="T183" s="579"/>
      <c r="U183" s="159"/>
      <c r="V183" s="159"/>
      <c r="W183" s="69"/>
      <c r="X183" s="121"/>
      <c r="Y183" s="80"/>
      <c r="Z183" s="80"/>
      <c r="AD183" s="138"/>
    </row>
    <row r="184" spans="1:30" ht="17.25" customHeight="1">
      <c r="A184" s="63"/>
      <c r="B184" s="74"/>
      <c r="C184" s="783" t="s">
        <v>14</v>
      </c>
      <c r="D184" s="350"/>
      <c r="E184" s="136">
        <f>E185+E192+E190</f>
        <v>61766.12</v>
      </c>
      <c r="F184" s="77">
        <v>61731.92</v>
      </c>
      <c r="G184" s="395">
        <f>E184-F184</f>
        <v>34.200000000004366</v>
      </c>
      <c r="H184" s="159"/>
      <c r="I184" s="162"/>
      <c r="J184" s="579"/>
      <c r="K184" s="579"/>
      <c r="L184" s="579"/>
      <c r="M184" s="579"/>
      <c r="N184" s="579"/>
      <c r="O184" s="579"/>
      <c r="P184" s="579"/>
      <c r="Q184" s="579"/>
      <c r="R184" s="579"/>
      <c r="S184" s="579"/>
      <c r="T184" s="579"/>
      <c r="U184" s="159"/>
      <c r="V184" s="159"/>
      <c r="W184" s="69"/>
      <c r="X184" s="121"/>
      <c r="Y184" s="80"/>
      <c r="Z184" s="80"/>
      <c r="AD184" s="247">
        <v>690930</v>
      </c>
    </row>
    <row r="185" spans="1:30" ht="20.25" customHeight="1">
      <c r="A185" s="63"/>
      <c r="B185" s="74"/>
      <c r="C185" s="784"/>
      <c r="D185" s="899" t="s">
        <v>111</v>
      </c>
      <c r="E185" s="85">
        <f>SUM(X185:X189)/1000</f>
        <v>57121.5</v>
      </c>
      <c r="F185" s="75">
        <v>57121.5</v>
      </c>
      <c r="G185" s="400">
        <f>E185-F185</f>
        <v>0</v>
      </c>
      <c r="H185" s="767" t="s">
        <v>526</v>
      </c>
      <c r="I185" s="80">
        <v>1270</v>
      </c>
      <c r="J185" s="597" t="s">
        <v>441</v>
      </c>
      <c r="K185" s="946">
        <v>30</v>
      </c>
      <c r="L185" s="946"/>
      <c r="M185" s="787" t="s">
        <v>596</v>
      </c>
      <c r="N185" s="597" t="s">
        <v>441</v>
      </c>
      <c r="O185" s="946">
        <v>365</v>
      </c>
      <c r="P185" s="946"/>
      <c r="Q185" s="946" t="s">
        <v>507</v>
      </c>
      <c r="R185" s="946"/>
      <c r="S185" s="787"/>
      <c r="T185" s="787"/>
      <c r="U185" s="762" t="s">
        <v>527</v>
      </c>
      <c r="V185" s="762"/>
      <c r="W185" s="79"/>
      <c r="X185" s="118">
        <f>ROUNDDOWN((I185*K185*O185),-1)</f>
        <v>13906500</v>
      </c>
      <c r="Y185" s="80"/>
      <c r="Z185" s="80"/>
      <c r="AD185" s="85"/>
    </row>
    <row r="186" spans="1:30" ht="20.25" customHeight="1">
      <c r="A186" s="63"/>
      <c r="B186" s="74"/>
      <c r="C186" s="784"/>
      <c r="D186" s="899"/>
      <c r="E186" s="85"/>
      <c r="F186" s="75"/>
      <c r="G186" s="74"/>
      <c r="H186" s="767" t="s">
        <v>528</v>
      </c>
      <c r="I186" s="80">
        <v>2800</v>
      </c>
      <c r="J186" s="597" t="s">
        <v>441</v>
      </c>
      <c r="K186" s="946">
        <v>30</v>
      </c>
      <c r="L186" s="946"/>
      <c r="M186" s="787" t="s">
        <v>596</v>
      </c>
      <c r="N186" s="597" t="s">
        <v>441</v>
      </c>
      <c r="O186" s="946">
        <v>365</v>
      </c>
      <c r="P186" s="946"/>
      <c r="Q186" s="946" t="s">
        <v>507</v>
      </c>
      <c r="R186" s="946"/>
      <c r="S186" s="787"/>
      <c r="T186" s="787"/>
      <c r="U186" s="762" t="s">
        <v>527</v>
      </c>
      <c r="V186" s="762"/>
      <c r="W186" s="79"/>
      <c r="X186" s="118">
        <f>ROUNDDOWN((I186*K186*O186),-1)</f>
        <v>30660000</v>
      </c>
      <c r="Y186" s="80"/>
      <c r="Z186" s="80"/>
      <c r="AD186" s="90"/>
    </row>
    <row r="187" spans="1:30" ht="20.25" customHeight="1">
      <c r="A187" s="63"/>
      <c r="B187" s="74"/>
      <c r="C187" s="784"/>
      <c r="D187" s="336"/>
      <c r="E187" s="85"/>
      <c r="F187" s="75"/>
      <c r="G187" s="74"/>
      <c r="H187" s="767" t="s">
        <v>529</v>
      </c>
      <c r="I187" s="80">
        <v>1600</v>
      </c>
      <c r="J187" s="597" t="s">
        <v>441</v>
      </c>
      <c r="K187" s="946">
        <v>21</v>
      </c>
      <c r="L187" s="946"/>
      <c r="M187" s="787" t="s">
        <v>596</v>
      </c>
      <c r="N187" s="597" t="s">
        <v>441</v>
      </c>
      <c r="O187" s="946">
        <v>300</v>
      </c>
      <c r="P187" s="946"/>
      <c r="Q187" s="946" t="s">
        <v>507</v>
      </c>
      <c r="R187" s="946"/>
      <c r="S187" s="787"/>
      <c r="T187" s="787"/>
      <c r="U187" s="762" t="s">
        <v>4</v>
      </c>
      <c r="V187" s="762"/>
      <c r="W187" s="79"/>
      <c r="X187" s="118">
        <f>ROUNDDOWN((I187*K187*O187),-1)</f>
        <v>10080000</v>
      </c>
      <c r="Y187" s="80"/>
      <c r="Z187" s="80"/>
      <c r="AD187" s="83">
        <v>4400000</v>
      </c>
    </row>
    <row r="188" spans="1:30" ht="20.25" customHeight="1">
      <c r="A188" s="63"/>
      <c r="B188" s="74"/>
      <c r="C188" s="784"/>
      <c r="D188" s="336"/>
      <c r="E188" s="85"/>
      <c r="F188" s="75"/>
      <c r="G188" s="74"/>
      <c r="H188" s="763" t="s">
        <v>530</v>
      </c>
      <c r="I188" s="80">
        <v>975000</v>
      </c>
      <c r="J188" s="597" t="s">
        <v>441</v>
      </c>
      <c r="K188" s="946">
        <v>1</v>
      </c>
      <c r="L188" s="946"/>
      <c r="M188" s="787" t="s">
        <v>570</v>
      </c>
      <c r="N188" s="762"/>
      <c r="O188" s="167"/>
      <c r="P188" s="762"/>
      <c r="Q188" s="762"/>
      <c r="R188" s="762"/>
      <c r="S188" s="762"/>
      <c r="T188" s="762"/>
      <c r="U188" s="762" t="s">
        <v>443</v>
      </c>
      <c r="V188" s="762"/>
      <c r="W188" s="79"/>
      <c r="X188" s="118">
        <f>I188*K188</f>
        <v>975000</v>
      </c>
      <c r="Y188" s="80"/>
      <c r="Z188" s="80"/>
      <c r="AD188" s="83"/>
    </row>
    <row r="189" spans="1:30" ht="20.25" customHeight="1" thickBot="1">
      <c r="A189" s="63"/>
      <c r="B189" s="74"/>
      <c r="C189" s="784"/>
      <c r="D189" s="336"/>
      <c r="E189" s="85"/>
      <c r="F189" s="85"/>
      <c r="G189" s="74"/>
      <c r="H189" s="703" t="s">
        <v>508</v>
      </c>
      <c r="I189" s="170">
        <v>1500000</v>
      </c>
      <c r="J189" s="617" t="s">
        <v>441</v>
      </c>
      <c r="K189" s="956">
        <v>1</v>
      </c>
      <c r="L189" s="956"/>
      <c r="M189" s="793" t="s">
        <v>570</v>
      </c>
      <c r="N189" s="255"/>
      <c r="O189" s="362"/>
      <c r="P189" s="255"/>
      <c r="Q189" s="255"/>
      <c r="R189" s="255"/>
      <c r="S189" s="255"/>
      <c r="T189" s="255"/>
      <c r="U189" s="255" t="s">
        <v>37</v>
      </c>
      <c r="V189" s="255"/>
      <c r="W189" s="139"/>
      <c r="X189" s="141">
        <f>I189*K189</f>
        <v>1500000</v>
      </c>
      <c r="Y189" s="80"/>
      <c r="Z189" s="80"/>
      <c r="AD189" s="83">
        <v>3220000</v>
      </c>
    </row>
    <row r="190" spans="1:30" ht="22.5" customHeight="1">
      <c r="A190" s="63"/>
      <c r="B190" s="74"/>
      <c r="C190" s="358"/>
      <c r="D190" s="898" t="s">
        <v>247</v>
      </c>
      <c r="E190" s="83">
        <f>SUM(Y190:Y191)/1000</f>
        <v>1044.62</v>
      </c>
      <c r="F190" s="91">
        <v>1010.42</v>
      </c>
      <c r="G190" s="398">
        <f>E190-F190</f>
        <v>34.19999999999993</v>
      </c>
      <c r="H190" s="678" t="s">
        <v>296</v>
      </c>
      <c r="I190" s="881" t="s">
        <v>691</v>
      </c>
      <c r="J190" s="881"/>
      <c r="K190" s="881"/>
      <c r="L190" s="881"/>
      <c r="M190" s="881"/>
      <c r="N190" s="881"/>
      <c r="O190" s="881"/>
      <c r="P190" s="881"/>
      <c r="Q190" s="881"/>
      <c r="R190" s="881"/>
      <c r="S190" s="509"/>
      <c r="T190" s="509"/>
      <c r="U190" s="510" t="s">
        <v>4</v>
      </c>
      <c r="V190" s="510"/>
      <c r="W190" s="130"/>
      <c r="X190" s="820">
        <f>522310-505210</f>
        <v>17100</v>
      </c>
      <c r="Y190" s="126">
        <v>522310</v>
      </c>
      <c r="Z190" s="236"/>
      <c r="AD190" s="85"/>
    </row>
    <row r="191" spans="1:30" ht="17.25" customHeight="1" thickBot="1">
      <c r="A191" s="100"/>
      <c r="B191" s="152"/>
      <c r="C191" s="137"/>
      <c r="D191" s="941"/>
      <c r="E191" s="138"/>
      <c r="F191" s="153"/>
      <c r="G191" s="240"/>
      <c r="H191" s="703" t="s">
        <v>292</v>
      </c>
      <c r="I191" s="924" t="s">
        <v>691</v>
      </c>
      <c r="J191" s="924"/>
      <c r="K191" s="924"/>
      <c r="L191" s="924"/>
      <c r="M191" s="924"/>
      <c r="N191" s="924"/>
      <c r="O191" s="924"/>
      <c r="P191" s="924"/>
      <c r="Q191" s="924"/>
      <c r="R191" s="924"/>
      <c r="S191" s="798"/>
      <c r="T191" s="798"/>
      <c r="U191" s="627" t="s">
        <v>4</v>
      </c>
      <c r="V191" s="627"/>
      <c r="W191" s="778"/>
      <c r="X191" s="824">
        <v>17100</v>
      </c>
      <c r="Y191" s="119">
        <v>522310</v>
      </c>
      <c r="Z191" s="80"/>
      <c r="AD191" s="85"/>
    </row>
    <row r="192" spans="1:30" ht="15" customHeight="1">
      <c r="A192" s="479"/>
      <c r="B192" s="507"/>
      <c r="C192" s="784"/>
      <c r="D192" s="980" t="s">
        <v>246</v>
      </c>
      <c r="E192" s="85">
        <f>X192/1000</f>
        <v>3600</v>
      </c>
      <c r="F192" s="75">
        <v>3600</v>
      </c>
      <c r="G192" s="676">
        <f>E192-F192</f>
        <v>0</v>
      </c>
      <c r="H192" s="393" t="s">
        <v>509</v>
      </c>
      <c r="I192" s="80">
        <v>300000</v>
      </c>
      <c r="J192" s="597" t="s">
        <v>441</v>
      </c>
      <c r="K192" s="946">
        <v>12</v>
      </c>
      <c r="L192" s="946"/>
      <c r="M192" s="946" t="s">
        <v>325</v>
      </c>
      <c r="N192" s="946"/>
      <c r="O192" s="762"/>
      <c r="P192" s="762"/>
      <c r="Q192" s="762"/>
      <c r="R192" s="762"/>
      <c r="S192" s="762"/>
      <c r="T192" s="762"/>
      <c r="U192" s="762" t="s">
        <v>332</v>
      </c>
      <c r="V192" s="762"/>
      <c r="W192" s="79"/>
      <c r="X192" s="118">
        <f>I192*K192</f>
        <v>3600000</v>
      </c>
      <c r="Y192" s="80"/>
      <c r="Z192" s="80"/>
      <c r="AD192" s="85"/>
    </row>
    <row r="193" spans="1:30" ht="15" customHeight="1">
      <c r="A193" s="63"/>
      <c r="B193" s="507"/>
      <c r="C193" s="65"/>
      <c r="D193" s="981"/>
      <c r="E193" s="90"/>
      <c r="F193" s="67"/>
      <c r="G193" s="667"/>
      <c r="H193" s="671"/>
      <c r="I193" s="665"/>
      <c r="J193" s="665"/>
      <c r="K193" s="665"/>
      <c r="L193" s="665"/>
      <c r="M193" s="665"/>
      <c r="N193" s="665"/>
      <c r="O193" s="665"/>
      <c r="P193" s="665"/>
      <c r="Q193" s="665"/>
      <c r="R193" s="665"/>
      <c r="S193" s="665"/>
      <c r="T193" s="665"/>
      <c r="U193" s="665"/>
      <c r="V193" s="665"/>
      <c r="W193" s="665"/>
      <c r="X193" s="704"/>
      <c r="Y193" s="167"/>
      <c r="Z193" s="167"/>
      <c r="AD193" s="90"/>
    </row>
    <row r="194" spans="1:30" ht="21" customHeight="1">
      <c r="A194" s="63"/>
      <c r="B194" s="784"/>
      <c r="C194" s="952" t="s">
        <v>112</v>
      </c>
      <c r="D194" s="345"/>
      <c r="E194" s="136">
        <f>E195</f>
        <v>7800</v>
      </c>
      <c r="F194" s="77">
        <v>7800</v>
      </c>
      <c r="G194" s="404">
        <f>E194-F194</f>
        <v>0</v>
      </c>
      <c r="H194" s="754"/>
      <c r="I194" s="129"/>
      <c r="J194" s="786"/>
      <c r="K194" s="786"/>
      <c r="L194" s="786"/>
      <c r="M194" s="786"/>
      <c r="N194" s="786"/>
      <c r="O194" s="786"/>
      <c r="P194" s="786"/>
      <c r="Q194" s="786"/>
      <c r="R194" s="786"/>
      <c r="S194" s="786"/>
      <c r="T194" s="786"/>
      <c r="U194" s="754"/>
      <c r="V194" s="754"/>
      <c r="W194" s="59"/>
      <c r="X194" s="119"/>
      <c r="Y194" s="80"/>
      <c r="Z194" s="80"/>
      <c r="AD194" s="85">
        <v>1100000</v>
      </c>
    </row>
    <row r="195" spans="1:30" ht="18" customHeight="1">
      <c r="A195" s="63"/>
      <c r="B195" s="784"/>
      <c r="C195" s="953"/>
      <c r="D195" s="872" t="s">
        <v>113</v>
      </c>
      <c r="E195" s="618">
        <f>SUM(X195:X200)/1000</f>
        <v>7800</v>
      </c>
      <c r="F195" s="91">
        <v>7800</v>
      </c>
      <c r="G195" s="398">
        <f>E195-F195</f>
        <v>0</v>
      </c>
      <c r="H195" s="767" t="s">
        <v>510</v>
      </c>
      <c r="I195" s="535">
        <v>150000</v>
      </c>
      <c r="J195" s="597" t="s">
        <v>441</v>
      </c>
      <c r="K195" s="945">
        <v>12</v>
      </c>
      <c r="L195" s="945"/>
      <c r="M195" s="598" t="s">
        <v>472</v>
      </c>
      <c r="N195" s="598"/>
      <c r="O195" s="80"/>
      <c r="P195" s="80"/>
      <c r="Q195" s="80"/>
      <c r="R195" s="80"/>
      <c r="S195" s="80"/>
      <c r="T195" s="80"/>
      <c r="U195" s="762" t="s">
        <v>4</v>
      </c>
      <c r="V195" s="80"/>
      <c r="W195" s="80"/>
      <c r="X195" s="118">
        <f>I195*K195</f>
        <v>1800000</v>
      </c>
      <c r="Y195" s="80"/>
      <c r="Z195" s="80"/>
      <c r="AD195" s="83">
        <v>1100000</v>
      </c>
    </row>
    <row r="196" spans="1:30" ht="18" customHeight="1">
      <c r="A196" s="63"/>
      <c r="B196" s="784"/>
      <c r="C196" s="178"/>
      <c r="D196" s="867"/>
      <c r="E196" s="85"/>
      <c r="F196" s="75"/>
      <c r="G196" s="402"/>
      <c r="H196" s="767" t="s">
        <v>511</v>
      </c>
      <c r="I196" s="535">
        <v>100000</v>
      </c>
      <c r="J196" s="597" t="s">
        <v>441</v>
      </c>
      <c r="K196" s="927">
        <v>12</v>
      </c>
      <c r="L196" s="927"/>
      <c r="M196" s="598" t="s">
        <v>514</v>
      </c>
      <c r="N196" s="80"/>
      <c r="O196" s="80"/>
      <c r="P196" s="80"/>
      <c r="Q196" s="80"/>
      <c r="R196" s="80"/>
      <c r="S196" s="80"/>
      <c r="T196" s="80"/>
      <c r="U196" s="762" t="s">
        <v>4</v>
      </c>
      <c r="V196" s="80"/>
      <c r="W196" s="80"/>
      <c r="X196" s="118">
        <f aca="true" t="shared" si="25" ref="X196:X198">I196*K196</f>
        <v>1200000</v>
      </c>
      <c r="Y196" s="80"/>
      <c r="Z196" s="80"/>
      <c r="AD196" s="85"/>
    </row>
    <row r="197" spans="1:30" ht="18" customHeight="1">
      <c r="A197" s="63"/>
      <c r="B197" s="784"/>
      <c r="C197" s="178"/>
      <c r="D197" s="782"/>
      <c r="E197" s="85"/>
      <c r="F197" s="75"/>
      <c r="G197" s="402"/>
      <c r="H197" s="767" t="s">
        <v>512</v>
      </c>
      <c r="I197" s="535">
        <v>200000</v>
      </c>
      <c r="J197" s="597" t="s">
        <v>441</v>
      </c>
      <c r="K197" s="927">
        <v>12</v>
      </c>
      <c r="L197" s="927"/>
      <c r="M197" s="598" t="s">
        <v>472</v>
      </c>
      <c r="N197" s="80"/>
      <c r="O197" s="80"/>
      <c r="P197" s="80"/>
      <c r="Q197" s="80"/>
      <c r="R197" s="80"/>
      <c r="S197" s="80"/>
      <c r="T197" s="80"/>
      <c r="U197" s="762" t="s">
        <v>4</v>
      </c>
      <c r="V197" s="80"/>
      <c r="W197" s="80"/>
      <c r="X197" s="118">
        <f t="shared" si="25"/>
        <v>2400000</v>
      </c>
      <c r="Y197" s="80"/>
      <c r="Z197" s="80"/>
      <c r="AD197" s="85"/>
    </row>
    <row r="198" spans="1:30" ht="18" customHeight="1">
      <c r="A198" s="63"/>
      <c r="B198" s="784"/>
      <c r="C198" s="178"/>
      <c r="D198" s="782"/>
      <c r="E198" s="85"/>
      <c r="F198" s="75"/>
      <c r="G198" s="402"/>
      <c r="H198" s="767" t="s">
        <v>513</v>
      </c>
      <c r="I198" s="535">
        <v>150000</v>
      </c>
      <c r="J198" s="597" t="s">
        <v>441</v>
      </c>
      <c r="K198" s="927">
        <v>4</v>
      </c>
      <c r="L198" s="927"/>
      <c r="M198" s="598" t="s">
        <v>447</v>
      </c>
      <c r="N198" s="80"/>
      <c r="O198" s="80"/>
      <c r="P198" s="80"/>
      <c r="Q198" s="80"/>
      <c r="R198" s="80"/>
      <c r="S198" s="80"/>
      <c r="T198" s="80"/>
      <c r="U198" s="762" t="s">
        <v>4</v>
      </c>
      <c r="V198" s="80"/>
      <c r="W198" s="80"/>
      <c r="X198" s="118">
        <f t="shared" si="25"/>
        <v>600000</v>
      </c>
      <c r="Y198" s="80"/>
      <c r="Z198" s="80"/>
      <c r="AD198" s="85"/>
    </row>
    <row r="199" spans="1:30" ht="18" customHeight="1">
      <c r="A199" s="63"/>
      <c r="B199" s="784"/>
      <c r="C199" s="178"/>
      <c r="D199" s="782"/>
      <c r="E199" s="85"/>
      <c r="F199" s="75"/>
      <c r="G199" s="402"/>
      <c r="H199" s="767" t="s">
        <v>516</v>
      </c>
      <c r="I199" s="535">
        <v>100000</v>
      </c>
      <c r="J199" s="597" t="s">
        <v>441</v>
      </c>
      <c r="K199" s="927">
        <v>12</v>
      </c>
      <c r="L199" s="927"/>
      <c r="M199" s="598" t="s">
        <v>472</v>
      </c>
      <c r="N199" s="80"/>
      <c r="O199" s="80"/>
      <c r="P199" s="80"/>
      <c r="Q199" s="80"/>
      <c r="R199" s="80"/>
      <c r="S199" s="80"/>
      <c r="T199" s="80"/>
      <c r="U199" s="762" t="s">
        <v>4</v>
      </c>
      <c r="V199" s="80"/>
      <c r="W199" s="80"/>
      <c r="X199" s="118">
        <f aca="true" t="shared" si="26" ref="X199">I199*K199</f>
        <v>1200000</v>
      </c>
      <c r="Y199" s="80"/>
      <c r="Z199" s="80"/>
      <c r="AD199" s="85"/>
    </row>
    <row r="200" spans="1:30" ht="18" customHeight="1">
      <c r="A200" s="63"/>
      <c r="B200" s="784"/>
      <c r="C200" s="178"/>
      <c r="D200" s="781"/>
      <c r="E200" s="90"/>
      <c r="F200" s="67"/>
      <c r="G200" s="621"/>
      <c r="H200" s="637" t="s">
        <v>515</v>
      </c>
      <c r="I200" s="535">
        <v>50000</v>
      </c>
      <c r="J200" s="597" t="s">
        <v>441</v>
      </c>
      <c r="K200" s="927">
        <v>12</v>
      </c>
      <c r="L200" s="927"/>
      <c r="M200" s="598" t="s">
        <v>472</v>
      </c>
      <c r="N200" s="80"/>
      <c r="O200" s="80"/>
      <c r="P200" s="80"/>
      <c r="Q200" s="80"/>
      <c r="R200" s="80"/>
      <c r="S200" s="80"/>
      <c r="T200" s="80"/>
      <c r="U200" s="762" t="s">
        <v>4</v>
      </c>
      <c r="V200" s="80"/>
      <c r="W200" s="80"/>
      <c r="X200" s="118">
        <f aca="true" t="shared" si="27" ref="X200">I200*K200</f>
        <v>600000</v>
      </c>
      <c r="Y200" s="80"/>
      <c r="Z200" s="80"/>
      <c r="AD200" s="85"/>
    </row>
    <row r="201" spans="1:30" ht="19.5" customHeight="1">
      <c r="A201" s="63"/>
      <c r="B201" s="784"/>
      <c r="C201" s="97" t="s">
        <v>15</v>
      </c>
      <c r="D201" s="336"/>
      <c r="E201" s="85">
        <f>E202</f>
        <v>5400</v>
      </c>
      <c r="F201" s="75">
        <v>5400</v>
      </c>
      <c r="G201" s="400">
        <f>E201-F201</f>
        <v>0</v>
      </c>
      <c r="H201" s="69"/>
      <c r="I201" s="6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589"/>
      <c r="V201" s="159"/>
      <c r="W201" s="69"/>
      <c r="X201" s="121"/>
      <c r="Y201" s="80"/>
      <c r="Z201" s="80"/>
      <c r="AD201" s="136">
        <v>600000</v>
      </c>
    </row>
    <row r="202" spans="1:30" ht="17.25" customHeight="1">
      <c r="A202" s="63"/>
      <c r="B202" s="784"/>
      <c r="C202" s="74"/>
      <c r="D202" s="340" t="s">
        <v>114</v>
      </c>
      <c r="E202" s="83">
        <f>SUM(X202:X204)/1000</f>
        <v>5400</v>
      </c>
      <c r="F202" s="91">
        <v>5400</v>
      </c>
      <c r="G202" s="399">
        <f>E202-F202</f>
        <v>0</v>
      </c>
      <c r="H202" s="655" t="s">
        <v>517</v>
      </c>
      <c r="I202" s="80">
        <v>30000</v>
      </c>
      <c r="J202" s="597" t="s">
        <v>441</v>
      </c>
      <c r="K202" s="978">
        <v>30</v>
      </c>
      <c r="L202" s="978"/>
      <c r="M202" s="787" t="s">
        <v>5</v>
      </c>
      <c r="N202" s="597" t="s">
        <v>441</v>
      </c>
      <c r="O202" s="787"/>
      <c r="P202" s="787">
        <v>4</v>
      </c>
      <c r="Q202" s="787" t="s">
        <v>7</v>
      </c>
      <c r="R202" s="787"/>
      <c r="S202" s="787"/>
      <c r="T202" s="787"/>
      <c r="U202" s="762" t="s">
        <v>4</v>
      </c>
      <c r="V202" s="762"/>
      <c r="W202" s="79"/>
      <c r="X202" s="118">
        <f>ROUNDDOWN((I202*K202*P202),-1)</f>
        <v>3600000</v>
      </c>
      <c r="Y202" s="80"/>
      <c r="Z202" s="80"/>
      <c r="AD202" s="83">
        <v>600000</v>
      </c>
    </row>
    <row r="203" spans="1:30" ht="17.25" customHeight="1">
      <c r="A203" s="63"/>
      <c r="B203" s="784"/>
      <c r="C203" s="74"/>
      <c r="D203" s="339"/>
      <c r="E203" s="85"/>
      <c r="F203" s="75"/>
      <c r="G203" s="74"/>
      <c r="H203" s="655" t="s">
        <v>283</v>
      </c>
      <c r="I203" s="80">
        <v>10000</v>
      </c>
      <c r="J203" s="597" t="s">
        <v>441</v>
      </c>
      <c r="K203" s="946">
        <v>30</v>
      </c>
      <c r="L203" s="946"/>
      <c r="M203" s="787" t="s">
        <v>5</v>
      </c>
      <c r="N203" s="597" t="s">
        <v>441</v>
      </c>
      <c r="O203" s="787"/>
      <c r="P203" s="787">
        <v>2</v>
      </c>
      <c r="Q203" s="787" t="s">
        <v>7</v>
      </c>
      <c r="R203" s="787"/>
      <c r="S203" s="787"/>
      <c r="T203" s="787"/>
      <c r="U203" s="762" t="s">
        <v>4</v>
      </c>
      <c r="V203" s="762"/>
      <c r="W203" s="79"/>
      <c r="X203" s="118">
        <f>ROUNDDOWN((I203*K203*P203),-1)</f>
        <v>600000</v>
      </c>
      <c r="Y203" s="80"/>
      <c r="Z203" s="80"/>
      <c r="AD203" s="90"/>
    </row>
    <row r="204" spans="1:30" ht="17.25" customHeight="1">
      <c r="A204" s="63"/>
      <c r="B204" s="784"/>
      <c r="C204" s="74"/>
      <c r="D204" s="339"/>
      <c r="E204" s="90"/>
      <c r="F204" s="67"/>
      <c r="G204" s="66"/>
      <c r="H204" s="619" t="s">
        <v>38</v>
      </c>
      <c r="I204" s="129">
        <v>40000</v>
      </c>
      <c r="J204" s="603" t="s">
        <v>441</v>
      </c>
      <c r="K204" s="931">
        <v>30</v>
      </c>
      <c r="L204" s="931"/>
      <c r="M204" s="786" t="s">
        <v>5</v>
      </c>
      <c r="N204" s="603" t="s">
        <v>441</v>
      </c>
      <c r="O204" s="786"/>
      <c r="P204" s="786">
        <v>1</v>
      </c>
      <c r="Q204" s="129" t="s">
        <v>7</v>
      </c>
      <c r="R204" s="129"/>
      <c r="S204" s="786"/>
      <c r="T204" s="786"/>
      <c r="U204" s="754" t="s">
        <v>4</v>
      </c>
      <c r="V204" s="754"/>
      <c r="W204" s="59"/>
      <c r="X204" s="119">
        <f>I204*K204*P204</f>
        <v>1200000</v>
      </c>
      <c r="Y204" s="80"/>
      <c r="Z204" s="80"/>
      <c r="AD204" s="85"/>
    </row>
    <row r="205" spans="1:30" ht="19.5" customHeight="1">
      <c r="A205" s="63"/>
      <c r="B205" s="784"/>
      <c r="C205" s="97" t="s">
        <v>24</v>
      </c>
      <c r="D205" s="343"/>
      <c r="E205" s="85">
        <f>E206</f>
        <v>2000</v>
      </c>
      <c r="F205" s="75">
        <v>2000</v>
      </c>
      <c r="G205" s="400">
        <f>E205-F205</f>
        <v>0</v>
      </c>
      <c r="H205" s="609"/>
      <c r="I205" s="6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69"/>
      <c r="X205" s="121"/>
      <c r="Y205" s="80"/>
      <c r="Z205" s="80"/>
      <c r="AD205" s="83"/>
    </row>
    <row r="206" spans="1:30" ht="19.5" customHeight="1">
      <c r="A206" s="63"/>
      <c r="B206" s="784"/>
      <c r="C206" s="74"/>
      <c r="D206" s="340" t="s">
        <v>115</v>
      </c>
      <c r="E206" s="83">
        <f>SUM(X206:X207)/1000</f>
        <v>2000</v>
      </c>
      <c r="F206" s="91">
        <v>2000</v>
      </c>
      <c r="G206" s="399">
        <f>E206-F206</f>
        <v>0</v>
      </c>
      <c r="H206" s="655" t="s">
        <v>518</v>
      </c>
      <c r="I206" s="535">
        <v>300000</v>
      </c>
      <c r="J206" s="597" t="s">
        <v>441</v>
      </c>
      <c r="K206" s="927">
        <v>4</v>
      </c>
      <c r="L206" s="927"/>
      <c r="M206" s="927" t="s">
        <v>447</v>
      </c>
      <c r="N206" s="927"/>
      <c r="O206" s="80"/>
      <c r="P206" s="80"/>
      <c r="Q206" s="80"/>
      <c r="R206" s="80"/>
      <c r="S206" s="80"/>
      <c r="T206" s="80"/>
      <c r="U206" s="762" t="s">
        <v>4</v>
      </c>
      <c r="V206" s="80"/>
      <c r="W206" s="80"/>
      <c r="X206" s="118">
        <f>I206*K206</f>
        <v>1200000</v>
      </c>
      <c r="Y206" s="80"/>
      <c r="Z206" s="80"/>
      <c r="AD206" s="90"/>
    </row>
    <row r="207" spans="1:30" ht="19.5" customHeight="1">
      <c r="A207" s="63"/>
      <c r="B207" s="784"/>
      <c r="C207" s="74"/>
      <c r="D207" s="336"/>
      <c r="E207" s="85"/>
      <c r="F207" s="75"/>
      <c r="G207" s="620"/>
      <c r="H207" s="655" t="s">
        <v>519</v>
      </c>
      <c r="I207" s="535">
        <v>200000</v>
      </c>
      <c r="J207" s="597" t="s">
        <v>441</v>
      </c>
      <c r="K207" s="927">
        <v>4</v>
      </c>
      <c r="L207" s="927"/>
      <c r="M207" s="928" t="s">
        <v>447</v>
      </c>
      <c r="N207" s="928"/>
      <c r="O207" s="80"/>
      <c r="P207" s="80"/>
      <c r="Q207" s="80"/>
      <c r="R207" s="80"/>
      <c r="S207" s="80"/>
      <c r="T207" s="80"/>
      <c r="U207" s="762" t="s">
        <v>4</v>
      </c>
      <c r="V207" s="80"/>
      <c r="W207" s="80"/>
      <c r="X207" s="118">
        <f aca="true" t="shared" si="28" ref="X207">I207*K207</f>
        <v>800000</v>
      </c>
      <c r="Y207" s="80"/>
      <c r="Z207" s="80"/>
      <c r="AD207" s="90"/>
    </row>
    <row r="208" spans="1:30" ht="18" customHeight="1">
      <c r="A208" s="63"/>
      <c r="B208" s="784"/>
      <c r="C208" s="97" t="s">
        <v>117</v>
      </c>
      <c r="D208" s="337"/>
      <c r="E208" s="136">
        <f>E209</f>
        <v>600</v>
      </c>
      <c r="F208" s="77">
        <v>600</v>
      </c>
      <c r="G208" s="400">
        <f>E208-F208</f>
        <v>0</v>
      </c>
      <c r="H208" s="802"/>
      <c r="I208" s="95"/>
      <c r="J208" s="789"/>
      <c r="K208" s="789"/>
      <c r="L208" s="789"/>
      <c r="M208" s="789"/>
      <c r="N208" s="789"/>
      <c r="O208" s="789"/>
      <c r="P208" s="789"/>
      <c r="Q208" s="789"/>
      <c r="R208" s="789"/>
      <c r="S208" s="789"/>
      <c r="T208" s="789"/>
      <c r="U208" s="802"/>
      <c r="V208" s="802"/>
      <c r="W208" s="98"/>
      <c r="X208" s="92"/>
      <c r="Y208" s="80"/>
      <c r="Z208" s="80"/>
      <c r="AD208" s="83">
        <v>2000000</v>
      </c>
    </row>
    <row r="209" spans="1:30" ht="20.25" customHeight="1">
      <c r="A209" s="63"/>
      <c r="B209" s="784"/>
      <c r="C209" s="74"/>
      <c r="D209" s="340" t="s">
        <v>116</v>
      </c>
      <c r="E209" s="83">
        <f>X209/1000</f>
        <v>600</v>
      </c>
      <c r="F209" s="91">
        <v>600</v>
      </c>
      <c r="G209" s="432">
        <f>E209-F209</f>
        <v>0</v>
      </c>
      <c r="H209" s="680" t="s">
        <v>535</v>
      </c>
      <c r="I209" s="95">
        <v>600000</v>
      </c>
      <c r="J209" s="600" t="s">
        <v>441</v>
      </c>
      <c r="K209" s="978">
        <v>1</v>
      </c>
      <c r="L209" s="978"/>
      <c r="M209" s="978" t="s">
        <v>128</v>
      </c>
      <c r="N209" s="978"/>
      <c r="O209" s="789"/>
      <c r="P209" s="789"/>
      <c r="Q209" s="789"/>
      <c r="R209" s="789"/>
      <c r="S209" s="789"/>
      <c r="T209" s="789"/>
      <c r="U209" s="802" t="s">
        <v>4</v>
      </c>
      <c r="V209" s="802"/>
      <c r="W209" s="98"/>
      <c r="X209" s="92">
        <f>I209*K209</f>
        <v>600000</v>
      </c>
      <c r="Y209" s="80"/>
      <c r="Z209" s="80"/>
      <c r="AD209" s="85"/>
    </row>
    <row r="210" spans="1:30" ht="15" customHeight="1">
      <c r="A210" s="115"/>
      <c r="B210" s="784"/>
      <c r="C210" s="66"/>
      <c r="D210" s="341"/>
      <c r="E210" s="90"/>
      <c r="F210" s="67"/>
      <c r="G210" s="685"/>
      <c r="H210" s="671"/>
      <c r="I210" s="665"/>
      <c r="J210" s="665"/>
      <c r="K210" s="665"/>
      <c r="L210" s="665"/>
      <c r="M210" s="665"/>
      <c r="N210" s="665"/>
      <c r="O210" s="665"/>
      <c r="P210" s="665"/>
      <c r="Q210" s="665"/>
      <c r="R210" s="665"/>
      <c r="S210" s="665"/>
      <c r="T210" s="665"/>
      <c r="U210" s="665"/>
      <c r="V210" s="665"/>
      <c r="W210" s="665"/>
      <c r="X210" s="704"/>
      <c r="Y210" s="167"/>
      <c r="Z210" s="167"/>
      <c r="AD210" s="85"/>
    </row>
    <row r="211" spans="1:30" ht="19.5" customHeight="1">
      <c r="A211" s="63" t="str">
        <f>A182</f>
        <v>03.사업비</v>
      </c>
      <c r="B211" s="784" t="str">
        <f>B183</f>
        <v>31.운영비</v>
      </c>
      <c r="C211" s="867" t="s">
        <v>118</v>
      </c>
      <c r="D211" s="804"/>
      <c r="E211" s="85">
        <f>E212</f>
        <v>0</v>
      </c>
      <c r="F211" s="75">
        <v>0</v>
      </c>
      <c r="G211" s="178"/>
      <c r="H211" s="79"/>
      <c r="I211" s="79"/>
      <c r="J211" s="762"/>
      <c r="K211" s="762"/>
      <c r="L211" s="762"/>
      <c r="M211" s="762"/>
      <c r="N211" s="762"/>
      <c r="O211" s="762"/>
      <c r="P211" s="762"/>
      <c r="Q211" s="762"/>
      <c r="R211" s="762"/>
      <c r="S211" s="762"/>
      <c r="T211" s="762"/>
      <c r="U211" s="587"/>
      <c r="V211" s="762"/>
      <c r="W211" s="79"/>
      <c r="X211" s="118"/>
      <c r="Y211" s="80"/>
      <c r="Z211" s="80"/>
      <c r="AD211" s="85"/>
    </row>
    <row r="212" spans="1:30" ht="19.5" customHeight="1">
      <c r="A212" s="63"/>
      <c r="B212" s="784"/>
      <c r="C212" s="867"/>
      <c r="D212" s="933" t="s">
        <v>119</v>
      </c>
      <c r="E212" s="83"/>
      <c r="F212" s="91"/>
      <c r="G212" s="759"/>
      <c r="H212" s="951" t="s">
        <v>43</v>
      </c>
      <c r="I212" s="932"/>
      <c r="J212" s="802"/>
      <c r="K212" s="802"/>
      <c r="L212" s="802"/>
      <c r="M212" s="802"/>
      <c r="N212" s="802"/>
      <c r="O212" s="802"/>
      <c r="P212" s="802"/>
      <c r="Q212" s="802"/>
      <c r="R212" s="802"/>
      <c r="S212" s="802"/>
      <c r="T212" s="802"/>
      <c r="U212" s="591"/>
      <c r="V212" s="802"/>
      <c r="W212" s="98"/>
      <c r="X212" s="92"/>
      <c r="Y212" s="80"/>
      <c r="Z212" s="80"/>
      <c r="AD212" s="136">
        <v>16900000</v>
      </c>
    </row>
    <row r="213" spans="1:30" ht="19.5" customHeight="1">
      <c r="A213" s="63"/>
      <c r="B213" s="784"/>
      <c r="C213" s="176"/>
      <c r="D213" s="934"/>
      <c r="E213" s="90"/>
      <c r="F213" s="67"/>
      <c r="G213" s="765"/>
      <c r="H213" s="59"/>
      <c r="I213" s="59"/>
      <c r="J213" s="754"/>
      <c r="K213" s="754"/>
      <c r="L213" s="754"/>
      <c r="M213" s="754"/>
      <c r="N213" s="754"/>
      <c r="O213" s="754"/>
      <c r="P213" s="754"/>
      <c r="Q213" s="754"/>
      <c r="R213" s="754"/>
      <c r="S213" s="754"/>
      <c r="T213" s="754"/>
      <c r="U213" s="593"/>
      <c r="V213" s="754"/>
      <c r="W213" s="59"/>
      <c r="X213" s="119"/>
      <c r="Y213" s="80"/>
      <c r="Z213" s="80"/>
      <c r="AD213" s="83">
        <v>16900000</v>
      </c>
    </row>
    <row r="214" spans="1:30" ht="19.5" customHeight="1">
      <c r="A214" s="63"/>
      <c r="B214" s="74"/>
      <c r="C214" s="872" t="s">
        <v>120</v>
      </c>
      <c r="D214" s="651"/>
      <c r="E214" s="85">
        <f>E215</f>
        <v>0</v>
      </c>
      <c r="F214" s="75">
        <v>0</v>
      </c>
      <c r="G214" s="178"/>
      <c r="H214" s="79"/>
      <c r="I214" s="79"/>
      <c r="J214" s="762"/>
      <c r="K214" s="762"/>
      <c r="L214" s="762"/>
      <c r="M214" s="762"/>
      <c r="N214" s="762"/>
      <c r="O214" s="762"/>
      <c r="P214" s="762"/>
      <c r="Q214" s="762"/>
      <c r="R214" s="762"/>
      <c r="S214" s="762"/>
      <c r="T214" s="762"/>
      <c r="U214" s="762"/>
      <c r="V214" s="762"/>
      <c r="W214" s="79"/>
      <c r="X214" s="118"/>
      <c r="Y214" s="80"/>
      <c r="Z214" s="80"/>
      <c r="AD214" s="85"/>
    </row>
    <row r="215" spans="1:30" ht="19.5" customHeight="1">
      <c r="A215" s="63"/>
      <c r="B215" s="74"/>
      <c r="C215" s="867"/>
      <c r="D215" s="933" t="s">
        <v>121</v>
      </c>
      <c r="E215" s="83"/>
      <c r="F215" s="91"/>
      <c r="G215" s="759"/>
      <c r="H215" s="951" t="s">
        <v>43</v>
      </c>
      <c r="I215" s="932"/>
      <c r="J215" s="802"/>
      <c r="K215" s="802"/>
      <c r="L215" s="802"/>
      <c r="M215" s="802"/>
      <c r="N215" s="802"/>
      <c r="O215" s="802"/>
      <c r="P215" s="802"/>
      <c r="Q215" s="802"/>
      <c r="R215" s="802"/>
      <c r="S215" s="802"/>
      <c r="T215" s="802"/>
      <c r="U215" s="802"/>
      <c r="V215" s="802"/>
      <c r="W215" s="98"/>
      <c r="X215" s="92"/>
      <c r="Y215" s="80"/>
      <c r="Z215" s="80"/>
      <c r="AD215" s="85"/>
    </row>
    <row r="216" spans="1:30" ht="19.5" customHeight="1">
      <c r="A216" s="63"/>
      <c r="B216" s="74"/>
      <c r="C216" s="178"/>
      <c r="D216" s="934"/>
      <c r="E216" s="90"/>
      <c r="F216" s="67"/>
      <c r="G216" s="765"/>
      <c r="H216" s="637"/>
      <c r="I216" s="637"/>
      <c r="J216" s="754"/>
      <c r="K216" s="754"/>
      <c r="L216" s="754"/>
      <c r="M216" s="754"/>
      <c r="N216" s="754"/>
      <c r="O216" s="754"/>
      <c r="P216" s="754"/>
      <c r="Q216" s="754"/>
      <c r="R216" s="754"/>
      <c r="S216" s="754"/>
      <c r="T216" s="754"/>
      <c r="U216" s="754"/>
      <c r="V216" s="754"/>
      <c r="W216" s="59"/>
      <c r="X216" s="119"/>
      <c r="Y216" s="80"/>
      <c r="Z216" s="80"/>
      <c r="AD216" s="90"/>
    </row>
    <row r="217" spans="1:30" ht="19.5" customHeight="1">
      <c r="A217" s="449"/>
      <c r="B217" s="74"/>
      <c r="C217" s="872" t="s">
        <v>122</v>
      </c>
      <c r="D217" s="346"/>
      <c r="E217" s="136">
        <f>SUM(E218)</f>
        <v>0</v>
      </c>
      <c r="F217" s="77">
        <v>0</v>
      </c>
      <c r="G217" s="399">
        <f>E217-F217</f>
        <v>0</v>
      </c>
      <c r="H217" s="802"/>
      <c r="I217" s="95"/>
      <c r="J217" s="789"/>
      <c r="K217" s="789"/>
      <c r="L217" s="789"/>
      <c r="M217" s="789"/>
      <c r="N217" s="789"/>
      <c r="O217" s="789"/>
      <c r="P217" s="789"/>
      <c r="Q217" s="789"/>
      <c r="R217" s="789"/>
      <c r="S217" s="789"/>
      <c r="T217" s="789"/>
      <c r="U217" s="802"/>
      <c r="V217" s="802"/>
      <c r="W217" s="98"/>
      <c r="X217" s="92"/>
      <c r="Y217" s="80"/>
      <c r="Z217" s="80"/>
      <c r="AD217" s="90">
        <v>0</v>
      </c>
    </row>
    <row r="218" spans="1:30" ht="19.5" customHeight="1">
      <c r="A218" s="63"/>
      <c r="B218" s="74"/>
      <c r="C218" s="867"/>
      <c r="D218" s="933" t="s">
        <v>123</v>
      </c>
      <c r="E218" s="83">
        <f>SUM(X219:X219)/1000</f>
        <v>0</v>
      </c>
      <c r="F218" s="83">
        <v>0</v>
      </c>
      <c r="G218" s="399">
        <f>E218-F218</f>
        <v>0</v>
      </c>
      <c r="H218" s="951" t="s">
        <v>327</v>
      </c>
      <c r="I218" s="932"/>
      <c r="J218" s="932"/>
      <c r="K218" s="932"/>
      <c r="L218" s="932"/>
      <c r="M218" s="932"/>
      <c r="N218" s="932"/>
      <c r="O218" s="932"/>
      <c r="P218" s="932"/>
      <c r="Q218" s="932"/>
      <c r="R218" s="932"/>
      <c r="S218" s="932"/>
      <c r="T218" s="789"/>
      <c r="U218" s="802"/>
      <c r="V218" s="802"/>
      <c r="W218" s="98"/>
      <c r="X218" s="92"/>
      <c r="Y218" s="80"/>
      <c r="Z218" s="80"/>
      <c r="AD218" s="85">
        <v>0</v>
      </c>
    </row>
    <row r="219" spans="1:30" ht="19.5" customHeight="1">
      <c r="A219" s="115"/>
      <c r="B219" s="784"/>
      <c r="C219" s="178"/>
      <c r="D219" s="950"/>
      <c r="E219" s="85"/>
      <c r="F219" s="85"/>
      <c r="G219" s="750"/>
      <c r="H219" s="762"/>
      <c r="I219" s="165"/>
      <c r="J219" s="787"/>
      <c r="K219" s="946"/>
      <c r="L219" s="946"/>
      <c r="M219" s="787"/>
      <c r="N219" s="787"/>
      <c r="O219" s="787"/>
      <c r="P219" s="787"/>
      <c r="Q219" s="946"/>
      <c r="R219" s="946"/>
      <c r="S219" s="787"/>
      <c r="T219" s="787"/>
      <c r="U219" s="762"/>
      <c r="V219" s="762"/>
      <c r="W219" s="79"/>
      <c r="X219" s="118">
        <f>I219*K219*P219</f>
        <v>0</v>
      </c>
      <c r="Y219" s="80"/>
      <c r="Z219" s="80"/>
      <c r="AD219" s="83">
        <v>0</v>
      </c>
    </row>
    <row r="220" spans="1:30" ht="19.5" customHeight="1">
      <c r="A220" s="359"/>
      <c r="B220" s="784"/>
      <c r="C220" s="179" t="s">
        <v>16</v>
      </c>
      <c r="D220" s="346"/>
      <c r="E220" s="136">
        <f>E221</f>
        <v>0</v>
      </c>
      <c r="F220" s="77">
        <v>0</v>
      </c>
      <c r="G220" s="399">
        <f>E220-F220</f>
        <v>0</v>
      </c>
      <c r="H220" s="159"/>
      <c r="I220" s="162"/>
      <c r="J220" s="579"/>
      <c r="K220" s="579"/>
      <c r="L220" s="579"/>
      <c r="M220" s="579"/>
      <c r="N220" s="579"/>
      <c r="O220" s="579"/>
      <c r="P220" s="579"/>
      <c r="Q220" s="579"/>
      <c r="R220" s="579"/>
      <c r="S220" s="579"/>
      <c r="T220" s="579"/>
      <c r="U220" s="159"/>
      <c r="V220" s="159"/>
      <c r="W220" s="69"/>
      <c r="X220" s="121"/>
      <c r="Y220" s="80"/>
      <c r="Z220" s="80"/>
      <c r="AD220" s="83">
        <v>0</v>
      </c>
    </row>
    <row r="221" spans="1:30" ht="19.5" customHeight="1">
      <c r="A221" s="63"/>
      <c r="B221" s="74"/>
      <c r="C221" s="178"/>
      <c r="D221" s="933" t="s">
        <v>124</v>
      </c>
      <c r="E221" s="83">
        <f>SUM(X222:X222)/1000</f>
        <v>0</v>
      </c>
      <c r="F221" s="91">
        <v>0</v>
      </c>
      <c r="G221" s="432">
        <f>E221-F221</f>
        <v>0</v>
      </c>
      <c r="H221" s="951" t="s">
        <v>520</v>
      </c>
      <c r="I221" s="932"/>
      <c r="J221" s="932"/>
      <c r="K221" s="932"/>
      <c r="L221" s="932"/>
      <c r="M221" s="932"/>
      <c r="N221" s="789"/>
      <c r="O221" s="802"/>
      <c r="P221" s="976"/>
      <c r="Q221" s="976"/>
      <c r="R221" s="976"/>
      <c r="S221" s="976"/>
      <c r="T221" s="976"/>
      <c r="U221" s="976"/>
      <c r="V221" s="976"/>
      <c r="W221" s="976"/>
      <c r="X221" s="977"/>
      <c r="Y221" s="762"/>
      <c r="Z221" s="762"/>
      <c r="AD221" s="90"/>
    </row>
    <row r="222" spans="1:30" ht="19.5" customHeight="1">
      <c r="A222" s="63"/>
      <c r="B222" s="74"/>
      <c r="C222" s="178"/>
      <c r="D222" s="950"/>
      <c r="E222" s="85"/>
      <c r="F222" s="75"/>
      <c r="G222" s="373"/>
      <c r="H222" s="594"/>
      <c r="I222" s="767"/>
      <c r="J222" s="946"/>
      <c r="K222" s="946"/>
      <c r="L222" s="946"/>
      <c r="M222" s="946"/>
      <c r="N222" s="946"/>
      <c r="O222" s="946"/>
      <c r="P222" s="787"/>
      <c r="Q222" s="787"/>
      <c r="R222" s="787"/>
      <c r="S222" s="787"/>
      <c r="T222" s="787"/>
      <c r="U222" s="762"/>
      <c r="V222" s="762"/>
      <c r="W222" s="79"/>
      <c r="X222" s="118"/>
      <c r="Y222" s="80"/>
      <c r="Z222" s="80"/>
      <c r="AD222" s="85">
        <v>0</v>
      </c>
    </row>
    <row r="223" spans="1:30" ht="19.5" customHeight="1">
      <c r="A223" s="479"/>
      <c r="B223" s="783" t="s">
        <v>150</v>
      </c>
      <c r="C223" s="76"/>
      <c r="D223" s="350"/>
      <c r="E223" s="136">
        <f>SUM(E224,E227,E230,E233,E236)</f>
        <v>1080</v>
      </c>
      <c r="F223" s="77">
        <v>1080</v>
      </c>
      <c r="G223" s="406">
        <f>E223-F223</f>
        <v>0</v>
      </c>
      <c r="H223" s="159"/>
      <c r="I223" s="162"/>
      <c r="J223" s="579"/>
      <c r="K223" s="579"/>
      <c r="L223" s="579"/>
      <c r="M223" s="579"/>
      <c r="N223" s="579"/>
      <c r="O223" s="579"/>
      <c r="P223" s="579"/>
      <c r="Q223" s="579"/>
      <c r="R223" s="579"/>
      <c r="S223" s="579"/>
      <c r="T223" s="579"/>
      <c r="U223" s="159"/>
      <c r="V223" s="159"/>
      <c r="W223" s="69"/>
      <c r="X223" s="121"/>
      <c r="Y223" s="80"/>
      <c r="Z223" s="80"/>
      <c r="AD223" s="83">
        <v>0</v>
      </c>
    </row>
    <row r="224" spans="1:30" ht="19.5" customHeight="1">
      <c r="A224" s="63"/>
      <c r="B224" s="74"/>
      <c r="C224" s="947" t="s">
        <v>597</v>
      </c>
      <c r="D224" s="336"/>
      <c r="E224" s="85">
        <f>E225</f>
        <v>680</v>
      </c>
      <c r="F224" s="75">
        <v>680</v>
      </c>
      <c r="G224" s="432">
        <f>E224-F224</f>
        <v>0</v>
      </c>
      <c r="H224" s="609"/>
      <c r="I224" s="6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589"/>
      <c r="V224" s="159"/>
      <c r="W224" s="69"/>
      <c r="X224" s="121"/>
      <c r="Y224" s="80"/>
      <c r="Z224" s="80"/>
      <c r="AD224" s="83">
        <v>0</v>
      </c>
    </row>
    <row r="225" spans="1:30" ht="19.5" customHeight="1">
      <c r="A225" s="63"/>
      <c r="B225" s="74"/>
      <c r="C225" s="948"/>
      <c r="D225" s="952" t="s">
        <v>129</v>
      </c>
      <c r="E225" s="83">
        <f>SUM(X225:X226)/1000</f>
        <v>680</v>
      </c>
      <c r="F225" s="91">
        <v>680</v>
      </c>
      <c r="G225" s="477">
        <f>E225-F225</f>
        <v>0</v>
      </c>
      <c r="H225" s="767" t="s">
        <v>523</v>
      </c>
      <c r="I225" s="767">
        <v>70000</v>
      </c>
      <c r="J225" s="597" t="s">
        <v>441</v>
      </c>
      <c r="K225" s="945">
        <v>4</v>
      </c>
      <c r="L225" s="945"/>
      <c r="M225" s="598" t="s">
        <v>447</v>
      </c>
      <c r="N225" s="80"/>
      <c r="O225" s="80"/>
      <c r="P225" s="80"/>
      <c r="Q225" s="80"/>
      <c r="R225" s="80"/>
      <c r="S225" s="80"/>
      <c r="T225" s="80"/>
      <c r="U225" s="762" t="s">
        <v>4</v>
      </c>
      <c r="V225" s="80"/>
      <c r="W225" s="80"/>
      <c r="X225" s="118">
        <f aca="true" t="shared" si="29" ref="X225">I225*K225</f>
        <v>280000</v>
      </c>
      <c r="Y225" s="80"/>
      <c r="Z225" s="80"/>
      <c r="AD225" s="90"/>
    </row>
    <row r="226" spans="1:30" ht="19.5" customHeight="1">
      <c r="A226" s="115"/>
      <c r="B226" s="784"/>
      <c r="C226" s="65"/>
      <c r="D226" s="985"/>
      <c r="E226" s="90"/>
      <c r="F226" s="67"/>
      <c r="G226" s="65"/>
      <c r="H226" s="59" t="s">
        <v>521</v>
      </c>
      <c r="I226" s="476">
        <v>100000</v>
      </c>
      <c r="J226" s="603" t="s">
        <v>441</v>
      </c>
      <c r="K226" s="928">
        <v>4</v>
      </c>
      <c r="L226" s="928"/>
      <c r="M226" s="604" t="s">
        <v>447</v>
      </c>
      <c r="N226" s="129"/>
      <c r="O226" s="129"/>
      <c r="P226" s="129"/>
      <c r="Q226" s="129"/>
      <c r="R226" s="129"/>
      <c r="S226" s="129"/>
      <c r="T226" s="129"/>
      <c r="U226" s="754" t="s">
        <v>4</v>
      </c>
      <c r="V226" s="129"/>
      <c r="W226" s="129"/>
      <c r="X226" s="119">
        <f aca="true" t="shared" si="30" ref="X226">I226*K226</f>
        <v>400000</v>
      </c>
      <c r="Y226" s="80"/>
      <c r="Z226" s="80"/>
      <c r="AD226" s="85"/>
    </row>
    <row r="227" spans="1:30" ht="19.5" customHeight="1">
      <c r="A227" s="56"/>
      <c r="B227" s="784"/>
      <c r="C227" s="899" t="s">
        <v>130</v>
      </c>
      <c r="D227" s="336"/>
      <c r="E227" s="85">
        <f>E228</f>
        <v>400</v>
      </c>
      <c r="F227" s="75">
        <v>400</v>
      </c>
      <c r="G227" s="406">
        <f>E227-F227</f>
        <v>0</v>
      </c>
      <c r="H227" s="79"/>
      <c r="I227" s="79"/>
      <c r="J227" s="762"/>
      <c r="K227" s="762"/>
      <c r="L227" s="762"/>
      <c r="M227" s="762"/>
      <c r="N227" s="762"/>
      <c r="O227" s="762"/>
      <c r="P227" s="762"/>
      <c r="Q227" s="762"/>
      <c r="R227" s="762"/>
      <c r="S227" s="762"/>
      <c r="T227" s="762"/>
      <c r="U227" s="762"/>
      <c r="V227" s="762"/>
      <c r="W227" s="79"/>
      <c r="X227" s="118"/>
      <c r="Y227" s="80"/>
      <c r="Z227" s="80"/>
      <c r="AD227" s="83">
        <v>0</v>
      </c>
    </row>
    <row r="228" spans="1:30" ht="19.5" customHeight="1" thickBot="1">
      <c r="A228" s="63"/>
      <c r="B228" s="784"/>
      <c r="C228" s="899"/>
      <c r="D228" s="933" t="s">
        <v>131</v>
      </c>
      <c r="E228" s="83">
        <f>X228/1000</f>
        <v>400</v>
      </c>
      <c r="F228" s="91">
        <v>400</v>
      </c>
      <c r="G228" s="432">
        <f>E228-F228</f>
        <v>0</v>
      </c>
      <c r="H228" s="392" t="s">
        <v>522</v>
      </c>
      <c r="I228" s="462">
        <v>100000</v>
      </c>
      <c r="J228" s="600" t="s">
        <v>441</v>
      </c>
      <c r="K228" s="945">
        <v>4</v>
      </c>
      <c r="L228" s="945"/>
      <c r="M228" s="601" t="s">
        <v>447</v>
      </c>
      <c r="N228" s="95"/>
      <c r="O228" s="95"/>
      <c r="P228" s="95"/>
      <c r="Q228" s="95"/>
      <c r="R228" s="95"/>
      <c r="S228" s="95"/>
      <c r="T228" s="95"/>
      <c r="U228" s="802" t="s">
        <v>4</v>
      </c>
      <c r="V228" s="95"/>
      <c r="W228" s="95"/>
      <c r="X228" s="92">
        <f aca="true" t="shared" si="31" ref="X228">I228*K228</f>
        <v>400000</v>
      </c>
      <c r="Y228" s="80"/>
      <c r="Z228" s="80"/>
      <c r="AD228" s="138"/>
    </row>
    <row r="229" spans="1:30" ht="19.5" customHeight="1">
      <c r="A229" s="63"/>
      <c r="B229" s="66"/>
      <c r="C229" s="65"/>
      <c r="D229" s="934"/>
      <c r="E229" s="90"/>
      <c r="F229" s="67"/>
      <c r="G229" s="667"/>
      <c r="H229" s="671"/>
      <c r="I229" s="665"/>
      <c r="J229" s="665"/>
      <c r="K229" s="665"/>
      <c r="L229" s="665"/>
      <c r="M229" s="665"/>
      <c r="N229" s="665"/>
      <c r="O229" s="665"/>
      <c r="P229" s="665"/>
      <c r="Q229" s="665"/>
      <c r="R229" s="665"/>
      <c r="S229" s="665"/>
      <c r="T229" s="665"/>
      <c r="U229" s="665"/>
      <c r="V229" s="665"/>
      <c r="W229" s="665"/>
      <c r="X229" s="704"/>
      <c r="Y229" s="167"/>
      <c r="Z229" s="167"/>
      <c r="AD229" s="90">
        <v>13530000</v>
      </c>
    </row>
    <row r="230" spans="1:30" ht="19.5" customHeight="1">
      <c r="A230" s="63"/>
      <c r="B230" s="74"/>
      <c r="C230" s="74" t="s">
        <v>26</v>
      </c>
      <c r="D230" s="336"/>
      <c r="E230" s="85">
        <f>E231</f>
        <v>0</v>
      </c>
      <c r="F230" s="75">
        <v>0</v>
      </c>
      <c r="G230" s="620">
        <f>E230-F230</f>
        <v>0</v>
      </c>
      <c r="H230" s="79"/>
      <c r="I230" s="79"/>
      <c r="J230" s="762"/>
      <c r="K230" s="762"/>
      <c r="L230" s="762"/>
      <c r="M230" s="762"/>
      <c r="N230" s="762"/>
      <c r="O230" s="762"/>
      <c r="P230" s="762"/>
      <c r="Q230" s="762"/>
      <c r="R230" s="762"/>
      <c r="S230" s="762"/>
      <c r="T230" s="762"/>
      <c r="U230" s="587"/>
      <c r="V230" s="762"/>
      <c r="W230" s="79"/>
      <c r="X230" s="118"/>
      <c r="Y230" s="80"/>
      <c r="Z230" s="80"/>
      <c r="AD230" s="85">
        <v>1370000</v>
      </c>
    </row>
    <row r="231" spans="1:30" ht="19.5" customHeight="1">
      <c r="A231" s="63"/>
      <c r="B231" s="74"/>
      <c r="C231" s="74"/>
      <c r="D231" s="340" t="s">
        <v>132</v>
      </c>
      <c r="E231" s="83">
        <f>X232/1000</f>
        <v>0</v>
      </c>
      <c r="F231" s="91">
        <v>0</v>
      </c>
      <c r="G231" s="432">
        <f>E231-F231</f>
        <v>0</v>
      </c>
      <c r="H231" s="951" t="s">
        <v>43</v>
      </c>
      <c r="I231" s="932"/>
      <c r="J231" s="802"/>
      <c r="K231" s="802"/>
      <c r="L231" s="802"/>
      <c r="M231" s="802"/>
      <c r="N231" s="802"/>
      <c r="O231" s="802"/>
      <c r="P231" s="802"/>
      <c r="Q231" s="802"/>
      <c r="R231" s="802"/>
      <c r="S231" s="802"/>
      <c r="T231" s="802"/>
      <c r="U231" s="591"/>
      <c r="V231" s="802"/>
      <c r="W231" s="98"/>
      <c r="X231" s="92"/>
      <c r="Y231" s="80"/>
      <c r="Z231" s="80"/>
      <c r="AD231" s="83">
        <v>1370000</v>
      </c>
    </row>
    <row r="232" spans="1:30" ht="19.5" customHeight="1">
      <c r="A232" s="63"/>
      <c r="B232" s="74"/>
      <c r="C232" s="66"/>
      <c r="D232" s="341"/>
      <c r="E232" s="90"/>
      <c r="F232" s="67"/>
      <c r="G232" s="66"/>
      <c r="H232" s="787"/>
      <c r="I232" s="192"/>
      <c r="J232" s="787"/>
      <c r="K232" s="946"/>
      <c r="L232" s="946"/>
      <c r="M232" s="787"/>
      <c r="N232" s="787"/>
      <c r="O232" s="787"/>
      <c r="P232" s="787"/>
      <c r="Q232" s="946"/>
      <c r="R232" s="946"/>
      <c r="S232" s="787"/>
      <c r="T232" s="787"/>
      <c r="U232" s="762"/>
      <c r="V232" s="762"/>
      <c r="W232" s="762"/>
      <c r="X232" s="181"/>
      <c r="Y232" s="787"/>
      <c r="Z232" s="787"/>
      <c r="AD232" s="85"/>
    </row>
    <row r="233" spans="1:30" ht="19.5" customHeight="1">
      <c r="A233" s="63"/>
      <c r="B233" s="74"/>
      <c r="C233" s="872" t="s">
        <v>27</v>
      </c>
      <c r="D233" s="651"/>
      <c r="E233" s="83">
        <f>E234</f>
        <v>0</v>
      </c>
      <c r="F233" s="91">
        <v>0</v>
      </c>
      <c r="G233" s="179"/>
      <c r="H233" s="98"/>
      <c r="I233" s="98"/>
      <c r="J233" s="802"/>
      <c r="K233" s="802"/>
      <c r="L233" s="802"/>
      <c r="M233" s="802"/>
      <c r="N233" s="802"/>
      <c r="O233" s="802"/>
      <c r="P233" s="802"/>
      <c r="Q233" s="802"/>
      <c r="R233" s="802"/>
      <c r="S233" s="802"/>
      <c r="T233" s="802"/>
      <c r="U233" s="802"/>
      <c r="V233" s="802"/>
      <c r="W233" s="98"/>
      <c r="X233" s="92"/>
      <c r="Y233" s="80"/>
      <c r="Z233" s="80"/>
      <c r="AD233" s="85"/>
    </row>
    <row r="234" spans="1:30" ht="19.5" customHeight="1">
      <c r="A234" s="63"/>
      <c r="B234" s="74"/>
      <c r="C234" s="867"/>
      <c r="D234" s="933" t="s">
        <v>133</v>
      </c>
      <c r="E234" s="83">
        <v>0</v>
      </c>
      <c r="F234" s="91">
        <v>0</v>
      </c>
      <c r="G234" s="759"/>
      <c r="H234" s="951" t="s">
        <v>43</v>
      </c>
      <c r="I234" s="932"/>
      <c r="J234" s="802"/>
      <c r="K234" s="802"/>
      <c r="L234" s="802"/>
      <c r="M234" s="802"/>
      <c r="N234" s="802"/>
      <c r="O234" s="802"/>
      <c r="P234" s="802"/>
      <c r="Q234" s="802"/>
      <c r="R234" s="802"/>
      <c r="S234" s="802"/>
      <c r="T234" s="802"/>
      <c r="U234" s="802"/>
      <c r="V234" s="802"/>
      <c r="W234" s="98"/>
      <c r="X234" s="92"/>
      <c r="Y234" s="80"/>
      <c r="Z234" s="80"/>
      <c r="AD234" s="90"/>
    </row>
    <row r="235" spans="1:30" ht="19.5" customHeight="1">
      <c r="A235" s="63"/>
      <c r="B235" s="784"/>
      <c r="C235" s="176"/>
      <c r="D235" s="934"/>
      <c r="E235" s="90"/>
      <c r="F235" s="67"/>
      <c r="G235" s="765"/>
      <c r="H235" s="637"/>
      <c r="I235" s="637"/>
      <c r="J235" s="754"/>
      <c r="K235" s="754"/>
      <c r="L235" s="754"/>
      <c r="M235" s="754"/>
      <c r="N235" s="754"/>
      <c r="O235" s="754"/>
      <c r="P235" s="754"/>
      <c r="Q235" s="754"/>
      <c r="R235" s="754"/>
      <c r="S235" s="754"/>
      <c r="T235" s="754"/>
      <c r="U235" s="754"/>
      <c r="V235" s="754"/>
      <c r="W235" s="59"/>
      <c r="X235" s="119"/>
      <c r="Y235" s="80"/>
      <c r="Z235" s="80"/>
      <c r="AD235" s="85">
        <v>5350000</v>
      </c>
    </row>
    <row r="236" spans="1:30" ht="19.5" customHeight="1">
      <c r="A236" s="63"/>
      <c r="B236" s="784"/>
      <c r="C236" s="899" t="s">
        <v>25</v>
      </c>
      <c r="D236" s="804"/>
      <c r="E236" s="85">
        <f>E237</f>
        <v>0</v>
      </c>
      <c r="F236" s="75">
        <v>0</v>
      </c>
      <c r="G236" s="178"/>
      <c r="H236" s="79"/>
      <c r="I236" s="79"/>
      <c r="J236" s="762"/>
      <c r="K236" s="762"/>
      <c r="L236" s="762"/>
      <c r="M236" s="762"/>
      <c r="N236" s="762"/>
      <c r="O236" s="762"/>
      <c r="P236" s="762"/>
      <c r="Q236" s="762"/>
      <c r="R236" s="762"/>
      <c r="S236" s="762"/>
      <c r="T236" s="762"/>
      <c r="U236" s="762"/>
      <c r="V236" s="762"/>
      <c r="W236" s="79"/>
      <c r="X236" s="118"/>
      <c r="Y236" s="80"/>
      <c r="Z236" s="80"/>
      <c r="AD236" s="83">
        <v>5350000</v>
      </c>
    </row>
    <row r="237" spans="1:30" ht="19.5" customHeight="1">
      <c r="A237" s="63"/>
      <c r="B237" s="784"/>
      <c r="C237" s="899"/>
      <c r="D237" s="933" t="s">
        <v>134</v>
      </c>
      <c r="E237" s="83">
        <v>0</v>
      </c>
      <c r="F237" s="91">
        <v>0</v>
      </c>
      <c r="G237" s="759"/>
      <c r="H237" s="951" t="s">
        <v>43</v>
      </c>
      <c r="I237" s="932"/>
      <c r="J237" s="802"/>
      <c r="K237" s="802"/>
      <c r="L237" s="802"/>
      <c r="M237" s="802"/>
      <c r="N237" s="802"/>
      <c r="O237" s="802"/>
      <c r="P237" s="802"/>
      <c r="Q237" s="802"/>
      <c r="R237" s="802"/>
      <c r="S237" s="802"/>
      <c r="T237" s="802"/>
      <c r="U237" s="802"/>
      <c r="V237" s="802"/>
      <c r="W237" s="98"/>
      <c r="X237" s="92"/>
      <c r="Y237" s="80"/>
      <c r="Z237" s="80"/>
      <c r="AD237" s="85"/>
    </row>
    <row r="238" spans="1:30" ht="19.5" customHeight="1">
      <c r="A238" s="63"/>
      <c r="B238" s="65"/>
      <c r="C238" s="176"/>
      <c r="D238" s="934"/>
      <c r="E238" s="90"/>
      <c r="F238" s="67"/>
      <c r="G238" s="765"/>
      <c r="H238" s="637"/>
      <c r="I238" s="637"/>
      <c r="J238" s="754"/>
      <c r="K238" s="754"/>
      <c r="L238" s="754"/>
      <c r="M238" s="754"/>
      <c r="N238" s="754"/>
      <c r="O238" s="754"/>
      <c r="P238" s="754"/>
      <c r="Q238" s="754"/>
      <c r="R238" s="754"/>
      <c r="S238" s="754"/>
      <c r="T238" s="754"/>
      <c r="U238" s="754"/>
      <c r="V238" s="754"/>
      <c r="W238" s="59"/>
      <c r="X238" s="119"/>
      <c r="Y238" s="80"/>
      <c r="Z238" s="80"/>
      <c r="AD238" s="85"/>
    </row>
    <row r="239" spans="1:30" ht="19.5" customHeight="1">
      <c r="A239" s="449"/>
      <c r="B239" s="74" t="s">
        <v>599</v>
      </c>
      <c r="C239" s="66"/>
      <c r="D239" s="732"/>
      <c r="E239" s="90">
        <f>SUM(E240+E253+E296+E307+E310)</f>
        <v>20750</v>
      </c>
      <c r="F239" s="67">
        <v>20750</v>
      </c>
      <c r="G239" s="620">
        <f>E239-F239</f>
        <v>0</v>
      </c>
      <c r="H239" s="780"/>
      <c r="I239" s="780"/>
      <c r="J239" s="780"/>
      <c r="K239" s="780"/>
      <c r="L239" s="780"/>
      <c r="M239" s="780"/>
      <c r="N239" s="780"/>
      <c r="O239" s="780"/>
      <c r="P239" s="780"/>
      <c r="Q239" s="780"/>
      <c r="R239" s="780"/>
      <c r="S239" s="780"/>
      <c r="T239" s="780"/>
      <c r="U239" s="780"/>
      <c r="V239" s="780"/>
      <c r="W239" s="59"/>
      <c r="X239" s="119"/>
      <c r="Y239" s="80"/>
      <c r="Z239" s="80"/>
      <c r="AD239" s="85"/>
    </row>
    <row r="240" spans="1:30" ht="19.5" customHeight="1">
      <c r="A240" s="63"/>
      <c r="B240" s="74"/>
      <c r="C240" s="872" t="s">
        <v>600</v>
      </c>
      <c r="D240" s="804"/>
      <c r="E240" s="85">
        <f>E241+E243+E247+E249</f>
        <v>5000</v>
      </c>
      <c r="F240" s="85">
        <v>5000</v>
      </c>
      <c r="G240" s="400">
        <f>E240-F240</f>
        <v>0</v>
      </c>
      <c r="H240" s="779"/>
      <c r="I240" s="779"/>
      <c r="J240" s="779"/>
      <c r="K240" s="779"/>
      <c r="L240" s="779"/>
      <c r="M240" s="779"/>
      <c r="N240" s="779"/>
      <c r="O240" s="779"/>
      <c r="P240" s="779"/>
      <c r="Q240" s="779"/>
      <c r="R240" s="779"/>
      <c r="S240" s="779"/>
      <c r="T240" s="779"/>
      <c r="U240" s="779"/>
      <c r="V240" s="779"/>
      <c r="W240" s="79"/>
      <c r="X240" s="118"/>
      <c r="Y240" s="80"/>
      <c r="Z240" s="80"/>
      <c r="AD240" s="136">
        <v>2800000</v>
      </c>
    </row>
    <row r="241" spans="1:30" ht="19.5" customHeight="1">
      <c r="A241" s="63"/>
      <c r="B241" s="74"/>
      <c r="C241" s="867"/>
      <c r="D241" s="872" t="s">
        <v>537</v>
      </c>
      <c r="E241" s="83">
        <f>SUM(X242,X241)/1000</f>
        <v>330</v>
      </c>
      <c r="F241" s="91">
        <v>330</v>
      </c>
      <c r="G241" s="477">
        <f>E241-F241</f>
        <v>0</v>
      </c>
      <c r="H241" s="729" t="s">
        <v>601</v>
      </c>
      <c r="I241" s="690">
        <v>65000</v>
      </c>
      <c r="J241" s="777" t="s">
        <v>441</v>
      </c>
      <c r="K241" s="939">
        <v>2</v>
      </c>
      <c r="L241" s="939"/>
      <c r="M241" s="777" t="s">
        <v>570</v>
      </c>
      <c r="N241" s="777"/>
      <c r="O241" s="777"/>
      <c r="P241" s="777"/>
      <c r="Q241" s="777"/>
      <c r="R241" s="777"/>
      <c r="S241" s="777"/>
      <c r="T241" s="777"/>
      <c r="U241" s="777" t="s">
        <v>603</v>
      </c>
      <c r="V241" s="777"/>
      <c r="W241" s="95"/>
      <c r="X241" s="92">
        <f aca="true" t="shared" si="32" ref="X241:X252">I241*K241</f>
        <v>130000</v>
      </c>
      <c r="Y241" s="80"/>
      <c r="Z241" s="80"/>
      <c r="AD241" s="83">
        <v>2800000</v>
      </c>
    </row>
    <row r="242" spans="1:30" ht="19.5" customHeight="1" thickBot="1">
      <c r="A242" s="100"/>
      <c r="B242" s="152"/>
      <c r="C242" s="240"/>
      <c r="D242" s="873"/>
      <c r="E242" s="138"/>
      <c r="F242" s="153"/>
      <c r="G242" s="718"/>
      <c r="H242" s="735" t="s">
        <v>604</v>
      </c>
      <c r="I242" s="698">
        <v>100000</v>
      </c>
      <c r="J242" s="778" t="s">
        <v>441</v>
      </c>
      <c r="K242" s="940">
        <v>2</v>
      </c>
      <c r="L242" s="940"/>
      <c r="M242" s="778" t="s">
        <v>570</v>
      </c>
      <c r="N242" s="778"/>
      <c r="O242" s="778"/>
      <c r="P242" s="778"/>
      <c r="Q242" s="778"/>
      <c r="R242" s="778"/>
      <c r="S242" s="778"/>
      <c r="T242" s="778"/>
      <c r="U242" s="778" t="s">
        <v>527</v>
      </c>
      <c r="V242" s="778"/>
      <c r="W242" s="170"/>
      <c r="X242" s="141">
        <f t="shared" si="32"/>
        <v>200000</v>
      </c>
      <c r="Y242" s="80"/>
      <c r="Z242" s="80"/>
      <c r="AD242" s="85"/>
    </row>
    <row r="243" spans="1:30" ht="21" customHeight="1">
      <c r="A243" s="545" t="str">
        <f>A211</f>
        <v>03.사업비</v>
      </c>
      <c r="B243" s="198" t="str">
        <f>B239</f>
        <v>33.사업비</v>
      </c>
      <c r="C243" s="869" t="str">
        <f>C240</f>
        <v>331.의료재활사업비</v>
      </c>
      <c r="D243" s="869" t="s">
        <v>538</v>
      </c>
      <c r="E243" s="247">
        <f>SUM(X243,X244,X245,X246)/1000</f>
        <v>2000</v>
      </c>
      <c r="F243" s="448">
        <v>2000</v>
      </c>
      <c r="G243" s="421">
        <f>E243-F243</f>
        <v>0</v>
      </c>
      <c r="H243" s="733" t="s">
        <v>605</v>
      </c>
      <c r="I243" s="716">
        <v>475000</v>
      </c>
      <c r="J243" s="785" t="s">
        <v>606</v>
      </c>
      <c r="K243" s="949">
        <v>1</v>
      </c>
      <c r="L243" s="949"/>
      <c r="M243" s="785" t="s">
        <v>570</v>
      </c>
      <c r="N243" s="785"/>
      <c r="O243" s="785"/>
      <c r="P243" s="785"/>
      <c r="Q243" s="785"/>
      <c r="R243" s="785"/>
      <c r="S243" s="785"/>
      <c r="T243" s="785"/>
      <c r="U243" s="785" t="s">
        <v>603</v>
      </c>
      <c r="V243" s="785"/>
      <c r="W243" s="543"/>
      <c r="X243" s="199">
        <f t="shared" si="32"/>
        <v>475000</v>
      </c>
      <c r="Y243" s="80"/>
      <c r="Z243" s="80"/>
      <c r="AD243" s="85"/>
    </row>
    <row r="244" spans="1:30" ht="21" customHeight="1">
      <c r="A244" s="63"/>
      <c r="B244" s="74"/>
      <c r="C244" s="867"/>
      <c r="D244" s="867"/>
      <c r="E244" s="85"/>
      <c r="F244" s="85"/>
      <c r="G244" s="400"/>
      <c r="H244" s="731" t="s">
        <v>607</v>
      </c>
      <c r="I244" s="692">
        <v>475000</v>
      </c>
      <c r="J244" s="779" t="s">
        <v>606</v>
      </c>
      <c r="K244" s="942">
        <v>1</v>
      </c>
      <c r="L244" s="942"/>
      <c r="M244" s="130" t="s">
        <v>570</v>
      </c>
      <c r="N244" s="779"/>
      <c r="O244" s="779"/>
      <c r="P244" s="779"/>
      <c r="Q244" s="779"/>
      <c r="R244" s="779"/>
      <c r="S244" s="779"/>
      <c r="T244" s="779"/>
      <c r="U244" s="779" t="s">
        <v>603</v>
      </c>
      <c r="V244" s="779"/>
      <c r="W244" s="80"/>
      <c r="X244" s="118">
        <f t="shared" si="32"/>
        <v>475000</v>
      </c>
      <c r="Y244" s="80"/>
      <c r="Z244" s="80"/>
      <c r="AD244" s="85"/>
    </row>
    <row r="245" spans="1:30" ht="21" customHeight="1">
      <c r="A245" s="63"/>
      <c r="B245" s="74"/>
      <c r="C245" s="661"/>
      <c r="D245" s="867"/>
      <c r="E245" s="85"/>
      <c r="F245" s="85"/>
      <c r="G245" s="400"/>
      <c r="H245" s="731" t="s">
        <v>608</v>
      </c>
      <c r="I245" s="692">
        <v>1000000</v>
      </c>
      <c r="J245" s="779" t="s">
        <v>606</v>
      </c>
      <c r="K245" s="942">
        <v>1</v>
      </c>
      <c r="L245" s="942"/>
      <c r="M245" s="779" t="s">
        <v>442</v>
      </c>
      <c r="N245" s="779"/>
      <c r="O245" s="779"/>
      <c r="P245" s="779"/>
      <c r="Q245" s="779"/>
      <c r="R245" s="779"/>
      <c r="S245" s="779"/>
      <c r="T245" s="779"/>
      <c r="U245" s="779" t="s">
        <v>603</v>
      </c>
      <c r="V245" s="779"/>
      <c r="W245" s="80"/>
      <c r="X245" s="118">
        <f t="shared" si="32"/>
        <v>1000000</v>
      </c>
      <c r="Y245" s="80"/>
      <c r="Z245" s="80"/>
      <c r="AD245" s="85"/>
    </row>
    <row r="246" spans="1:30" ht="21" customHeight="1">
      <c r="A246" s="63"/>
      <c r="B246" s="74"/>
      <c r="C246" s="661"/>
      <c r="D246" s="875"/>
      <c r="E246" s="85"/>
      <c r="F246" s="79"/>
      <c r="G246" s="620"/>
      <c r="H246" s="730" t="s">
        <v>609</v>
      </c>
      <c r="I246" s="691">
        <v>12500</v>
      </c>
      <c r="J246" s="780" t="s">
        <v>441</v>
      </c>
      <c r="K246" s="943">
        <v>4</v>
      </c>
      <c r="L246" s="943"/>
      <c r="M246" s="780" t="s">
        <v>570</v>
      </c>
      <c r="N246" s="780"/>
      <c r="O246" s="780"/>
      <c r="P246" s="780"/>
      <c r="Q246" s="780"/>
      <c r="R246" s="780"/>
      <c r="S246" s="780"/>
      <c r="T246" s="780"/>
      <c r="U246" s="780" t="s">
        <v>527</v>
      </c>
      <c r="V246" s="780"/>
      <c r="W246" s="129"/>
      <c r="X246" s="119">
        <f t="shared" si="32"/>
        <v>50000</v>
      </c>
      <c r="Y246" s="80"/>
      <c r="Z246" s="80"/>
      <c r="AD246" s="90"/>
    </row>
    <row r="247" spans="1:30" ht="19.5" customHeight="1">
      <c r="A247" s="63"/>
      <c r="B247" s="74"/>
      <c r="C247" s="661"/>
      <c r="D247" s="872" t="s">
        <v>539</v>
      </c>
      <c r="E247" s="83">
        <f>SUM(X247,X248)/1000</f>
        <v>400</v>
      </c>
      <c r="F247" s="91">
        <v>400</v>
      </c>
      <c r="G247" s="400">
        <f>E247-F247</f>
        <v>0</v>
      </c>
      <c r="H247" s="731" t="s">
        <v>610</v>
      </c>
      <c r="I247" s="692">
        <v>175000</v>
      </c>
      <c r="J247" s="779" t="s">
        <v>606</v>
      </c>
      <c r="K247" s="942">
        <v>2</v>
      </c>
      <c r="L247" s="942"/>
      <c r="M247" s="130" t="s">
        <v>570</v>
      </c>
      <c r="N247" s="779"/>
      <c r="O247" s="779"/>
      <c r="P247" s="779"/>
      <c r="Q247" s="779"/>
      <c r="R247" s="779"/>
      <c r="S247" s="779"/>
      <c r="T247" s="779"/>
      <c r="U247" s="779" t="s">
        <v>603</v>
      </c>
      <c r="V247" s="779"/>
      <c r="W247" s="80"/>
      <c r="X247" s="118">
        <f t="shared" si="32"/>
        <v>350000</v>
      </c>
      <c r="Y247" s="80"/>
      <c r="Z247" s="80"/>
      <c r="AD247" s="85"/>
    </row>
    <row r="248" spans="1:30" ht="19.5" customHeight="1">
      <c r="A248" s="63"/>
      <c r="B248" s="74"/>
      <c r="C248" s="178"/>
      <c r="D248" s="875"/>
      <c r="E248" s="85"/>
      <c r="F248" s="79"/>
      <c r="G248" s="551"/>
      <c r="H248" s="731" t="s">
        <v>609</v>
      </c>
      <c r="I248" s="692">
        <v>25000</v>
      </c>
      <c r="J248" s="779" t="s">
        <v>441</v>
      </c>
      <c r="K248" s="942">
        <v>2</v>
      </c>
      <c r="L248" s="942"/>
      <c r="M248" s="130" t="s">
        <v>570</v>
      </c>
      <c r="N248" s="779"/>
      <c r="O248" s="779"/>
      <c r="P248" s="779"/>
      <c r="Q248" s="779"/>
      <c r="R248" s="779"/>
      <c r="S248" s="779"/>
      <c r="T248" s="779"/>
      <c r="U248" s="779" t="s">
        <v>527</v>
      </c>
      <c r="V248" s="779"/>
      <c r="W248" s="80"/>
      <c r="X248" s="118">
        <f t="shared" si="32"/>
        <v>50000</v>
      </c>
      <c r="Y248" s="80"/>
      <c r="Z248" s="80"/>
      <c r="AD248" s="85"/>
    </row>
    <row r="249" spans="1:30" ht="19.5" customHeight="1">
      <c r="A249" s="63"/>
      <c r="B249" s="74"/>
      <c r="C249" s="178"/>
      <c r="D249" s="872" t="s">
        <v>540</v>
      </c>
      <c r="E249" s="83">
        <f>SUM(X249,X250,X251,X252)/1000</f>
        <v>2270</v>
      </c>
      <c r="F249" s="91">
        <v>2270</v>
      </c>
      <c r="G249" s="477">
        <f>E249-F249</f>
        <v>0</v>
      </c>
      <c r="H249" s="729" t="s">
        <v>611</v>
      </c>
      <c r="I249" s="690">
        <v>14000</v>
      </c>
      <c r="J249" s="777" t="s">
        <v>441</v>
      </c>
      <c r="K249" s="939">
        <v>30</v>
      </c>
      <c r="L249" s="939"/>
      <c r="M249" s="777" t="s">
        <v>525</v>
      </c>
      <c r="N249" s="777"/>
      <c r="O249" s="777"/>
      <c r="P249" s="777"/>
      <c r="Q249" s="777"/>
      <c r="R249" s="777"/>
      <c r="S249" s="777"/>
      <c r="T249" s="777"/>
      <c r="U249" s="777" t="s">
        <v>527</v>
      </c>
      <c r="V249" s="777"/>
      <c r="W249" s="95"/>
      <c r="X249" s="92">
        <f t="shared" si="32"/>
        <v>420000</v>
      </c>
      <c r="Y249" s="80"/>
      <c r="Z249" s="80"/>
      <c r="AD249" s="85"/>
    </row>
    <row r="250" spans="1:30" ht="19.5" customHeight="1">
      <c r="A250" s="63"/>
      <c r="B250" s="74"/>
      <c r="C250" s="178"/>
      <c r="D250" s="950"/>
      <c r="E250" s="85"/>
      <c r="F250" s="75"/>
      <c r="G250" s="791"/>
      <c r="H250" s="731" t="s">
        <v>671</v>
      </c>
      <c r="I250" s="692">
        <v>50000</v>
      </c>
      <c r="J250" s="779" t="s">
        <v>441</v>
      </c>
      <c r="K250" s="942">
        <v>4</v>
      </c>
      <c r="L250" s="942"/>
      <c r="M250" s="130" t="s">
        <v>570</v>
      </c>
      <c r="N250" s="779"/>
      <c r="O250" s="779"/>
      <c r="P250" s="779"/>
      <c r="Q250" s="779"/>
      <c r="R250" s="779"/>
      <c r="S250" s="779"/>
      <c r="T250" s="779"/>
      <c r="U250" s="779" t="s">
        <v>527</v>
      </c>
      <c r="V250" s="779"/>
      <c r="W250" s="80"/>
      <c r="X250" s="118">
        <f t="shared" si="32"/>
        <v>200000</v>
      </c>
      <c r="Y250" s="80"/>
      <c r="Z250" s="80"/>
      <c r="AD250" s="85"/>
    </row>
    <row r="251" spans="1:30" ht="19.5" customHeight="1">
      <c r="A251" s="63"/>
      <c r="B251" s="74"/>
      <c r="C251" s="178"/>
      <c r="D251" s="782"/>
      <c r="E251" s="85"/>
      <c r="F251" s="75"/>
      <c r="G251" s="791"/>
      <c r="H251" s="731" t="s">
        <v>672</v>
      </c>
      <c r="I251" s="692">
        <v>50000</v>
      </c>
      <c r="J251" s="779" t="s">
        <v>441</v>
      </c>
      <c r="K251" s="942">
        <v>1</v>
      </c>
      <c r="L251" s="942"/>
      <c r="M251" s="130" t="s">
        <v>525</v>
      </c>
      <c r="N251" s="779" t="s">
        <v>606</v>
      </c>
      <c r="O251" s="779">
        <v>15</v>
      </c>
      <c r="P251" s="130" t="s">
        <v>507</v>
      </c>
      <c r="Q251" s="779"/>
      <c r="R251" s="779"/>
      <c r="S251" s="779"/>
      <c r="T251" s="779"/>
      <c r="U251" s="779" t="s">
        <v>527</v>
      </c>
      <c r="V251" s="779"/>
      <c r="W251" s="80"/>
      <c r="X251" s="118">
        <f>I251*K251*O251</f>
        <v>750000</v>
      </c>
      <c r="Y251" s="80"/>
      <c r="Z251" s="80"/>
      <c r="AD251" s="85"/>
    </row>
    <row r="252" spans="1:30" ht="19.5" customHeight="1">
      <c r="A252" s="115"/>
      <c r="B252" s="784"/>
      <c r="C252" s="806"/>
      <c r="D252" s="781"/>
      <c r="E252" s="67"/>
      <c r="F252" s="67"/>
      <c r="G252" s="806"/>
      <c r="H252" s="730" t="s">
        <v>673</v>
      </c>
      <c r="I252" s="691">
        <v>30000</v>
      </c>
      <c r="J252" s="780" t="s">
        <v>441</v>
      </c>
      <c r="K252" s="943">
        <v>30</v>
      </c>
      <c r="L252" s="943"/>
      <c r="M252" s="780" t="s">
        <v>525</v>
      </c>
      <c r="N252" s="780" t="s">
        <v>606</v>
      </c>
      <c r="O252" s="780">
        <v>1</v>
      </c>
      <c r="P252" s="780" t="s">
        <v>442</v>
      </c>
      <c r="Q252" s="780"/>
      <c r="R252" s="780"/>
      <c r="S252" s="780"/>
      <c r="T252" s="780"/>
      <c r="U252" s="780" t="s">
        <v>527</v>
      </c>
      <c r="V252" s="780"/>
      <c r="W252" s="129"/>
      <c r="X252" s="119">
        <f t="shared" si="32"/>
        <v>900000</v>
      </c>
      <c r="Y252" s="80"/>
      <c r="Z252" s="80"/>
      <c r="AD252" s="85"/>
    </row>
    <row r="253" spans="1:30" ht="19.5" customHeight="1">
      <c r="A253" s="63"/>
      <c r="B253" s="74"/>
      <c r="C253" s="872" t="s">
        <v>612</v>
      </c>
      <c r="D253" s="804"/>
      <c r="E253" s="85">
        <f>SUM(E254,E256,E258,E260,E262,E264,E266,E268,E272,E275,E277,E282,E284,E286,E288,E292)</f>
        <v>10904</v>
      </c>
      <c r="F253" s="85">
        <v>10904</v>
      </c>
      <c r="G253" s="400">
        <f>E253-F253</f>
        <v>0</v>
      </c>
      <c r="H253" s="79"/>
      <c r="I253" s="692"/>
      <c r="J253" s="779"/>
      <c r="K253" s="779"/>
      <c r="L253" s="779"/>
      <c r="M253" s="779"/>
      <c r="N253" s="779"/>
      <c r="O253" s="779"/>
      <c r="P253" s="779"/>
      <c r="Q253" s="779"/>
      <c r="R253" s="779"/>
      <c r="S253" s="779"/>
      <c r="T253" s="779"/>
      <c r="U253" s="779"/>
      <c r="V253" s="779"/>
      <c r="W253" s="79"/>
      <c r="X253" s="693"/>
      <c r="Y253" s="79"/>
      <c r="Z253" s="79"/>
      <c r="AD253" s="83">
        <v>1100000</v>
      </c>
    </row>
    <row r="254" spans="1:30" ht="19.5" customHeight="1">
      <c r="A254" s="63"/>
      <c r="B254" s="74"/>
      <c r="C254" s="867"/>
      <c r="D254" s="872" t="s">
        <v>541</v>
      </c>
      <c r="E254" s="83">
        <f>SUM(X254:X255)/1000</f>
        <v>101</v>
      </c>
      <c r="F254" s="83">
        <v>101</v>
      </c>
      <c r="G254" s="477">
        <f>E254-F254</f>
        <v>0</v>
      </c>
      <c r="H254" s="98" t="s">
        <v>613</v>
      </c>
      <c r="I254" s="690">
        <v>25250</v>
      </c>
      <c r="J254" s="777" t="s">
        <v>441</v>
      </c>
      <c r="K254" s="939">
        <v>4</v>
      </c>
      <c r="L254" s="939"/>
      <c r="M254" s="777" t="s">
        <v>570</v>
      </c>
      <c r="N254" s="777"/>
      <c r="O254" s="777"/>
      <c r="P254" s="777"/>
      <c r="Q254" s="777"/>
      <c r="R254" s="777"/>
      <c r="S254" s="777"/>
      <c r="T254" s="777"/>
      <c r="U254" s="777" t="s">
        <v>527</v>
      </c>
      <c r="V254" s="777"/>
      <c r="W254" s="95"/>
      <c r="X254" s="92">
        <f aca="true" t="shared" si="33" ref="X254">I254*K254</f>
        <v>101000</v>
      </c>
      <c r="Y254" s="80"/>
      <c r="Z254" s="80"/>
      <c r="AD254" s="90"/>
    </row>
    <row r="255" spans="1:30" ht="19.5" customHeight="1">
      <c r="A255" s="63"/>
      <c r="B255" s="74"/>
      <c r="C255" s="867"/>
      <c r="D255" s="867"/>
      <c r="E255" s="85"/>
      <c r="F255" s="85"/>
      <c r="G255" s="620"/>
      <c r="H255" s="59"/>
      <c r="I255" s="691"/>
      <c r="J255" s="780"/>
      <c r="K255" s="943"/>
      <c r="L255" s="943"/>
      <c r="M255" s="780"/>
      <c r="N255" s="780"/>
      <c r="O255" s="780"/>
      <c r="P255" s="780"/>
      <c r="Q255" s="780"/>
      <c r="R255" s="780"/>
      <c r="S255" s="780"/>
      <c r="T255" s="780"/>
      <c r="U255" s="780"/>
      <c r="V255" s="780"/>
      <c r="W255" s="129"/>
      <c r="X255" s="119"/>
      <c r="Y255" s="80"/>
      <c r="Z255" s="80"/>
      <c r="AD255" s="85"/>
    </row>
    <row r="256" spans="1:30" ht="19.5" customHeight="1">
      <c r="A256" s="63"/>
      <c r="B256" s="74"/>
      <c r="C256" s="760"/>
      <c r="D256" s="872" t="s">
        <v>542</v>
      </c>
      <c r="E256" s="83">
        <f>SUM(X256:X257)/1000</f>
        <v>80</v>
      </c>
      <c r="F256" s="83">
        <v>80</v>
      </c>
      <c r="G256" s="477">
        <f>E256-F256</f>
        <v>0</v>
      </c>
      <c r="H256" s="98" t="s">
        <v>614</v>
      </c>
      <c r="I256" s="690">
        <v>2000</v>
      </c>
      <c r="J256" s="777" t="s">
        <v>441</v>
      </c>
      <c r="K256" s="939">
        <v>10</v>
      </c>
      <c r="L256" s="939"/>
      <c r="M256" s="777" t="s">
        <v>525</v>
      </c>
      <c r="N256" s="777" t="s">
        <v>606</v>
      </c>
      <c r="O256" s="777">
        <v>4</v>
      </c>
      <c r="P256" s="777" t="s">
        <v>570</v>
      </c>
      <c r="Q256" s="777"/>
      <c r="R256" s="777"/>
      <c r="S256" s="777"/>
      <c r="T256" s="777"/>
      <c r="U256" s="777" t="s">
        <v>527</v>
      </c>
      <c r="V256" s="777"/>
      <c r="W256" s="95"/>
      <c r="X256" s="92">
        <f>I256*K256*O256</f>
        <v>80000</v>
      </c>
      <c r="Y256" s="80"/>
      <c r="Z256" s="80"/>
      <c r="AD256" s="85"/>
    </row>
    <row r="257" spans="1:30" ht="19.5" customHeight="1">
      <c r="A257" s="63"/>
      <c r="B257" s="74"/>
      <c r="C257" s="760"/>
      <c r="D257" s="867"/>
      <c r="E257" s="85"/>
      <c r="F257" s="85"/>
      <c r="G257" s="620"/>
      <c r="H257" s="59"/>
      <c r="I257" s="691"/>
      <c r="J257" s="780"/>
      <c r="K257" s="780"/>
      <c r="L257" s="780"/>
      <c r="M257" s="780"/>
      <c r="N257" s="780"/>
      <c r="O257" s="780"/>
      <c r="P257" s="780"/>
      <c r="Q257" s="780"/>
      <c r="R257" s="780"/>
      <c r="S257" s="780"/>
      <c r="T257" s="780"/>
      <c r="U257" s="780"/>
      <c r="V257" s="780"/>
      <c r="W257" s="129"/>
      <c r="X257" s="119"/>
      <c r="Y257" s="80"/>
      <c r="Z257" s="80"/>
      <c r="AD257" s="85"/>
    </row>
    <row r="258" spans="1:30" ht="19.5" customHeight="1">
      <c r="A258" s="63"/>
      <c r="B258" s="74"/>
      <c r="C258" s="760"/>
      <c r="D258" s="872" t="s">
        <v>615</v>
      </c>
      <c r="E258" s="83">
        <f>SUM(X258:X259)/1000</f>
        <v>370</v>
      </c>
      <c r="F258" s="83">
        <v>370</v>
      </c>
      <c r="G258" s="477">
        <f>E258-F258</f>
        <v>0</v>
      </c>
      <c r="H258" s="98" t="s">
        <v>616</v>
      </c>
      <c r="I258" s="690">
        <v>170000</v>
      </c>
      <c r="J258" s="777" t="s">
        <v>441</v>
      </c>
      <c r="K258" s="935">
        <v>2</v>
      </c>
      <c r="L258" s="935"/>
      <c r="M258" s="777" t="s">
        <v>570</v>
      </c>
      <c r="N258" s="777"/>
      <c r="O258" s="777"/>
      <c r="P258" s="777"/>
      <c r="Q258" s="777"/>
      <c r="R258" s="777"/>
      <c r="S258" s="777"/>
      <c r="T258" s="777"/>
      <c r="U258" s="777" t="s">
        <v>527</v>
      </c>
      <c r="V258" s="777"/>
      <c r="W258" s="95"/>
      <c r="X258" s="92">
        <f>I258*K258</f>
        <v>340000</v>
      </c>
      <c r="Y258" s="80"/>
      <c r="Z258" s="80"/>
      <c r="AD258" s="85"/>
    </row>
    <row r="259" spans="1:30" ht="19.5" customHeight="1">
      <c r="A259" s="63"/>
      <c r="B259" s="74"/>
      <c r="C259" s="760"/>
      <c r="D259" s="867"/>
      <c r="E259" s="85"/>
      <c r="F259" s="85"/>
      <c r="G259" s="620"/>
      <c r="H259" s="59" t="s">
        <v>617</v>
      </c>
      <c r="I259" s="691">
        <v>15000</v>
      </c>
      <c r="J259" s="780" t="s">
        <v>441</v>
      </c>
      <c r="K259" s="936">
        <v>2</v>
      </c>
      <c r="L259" s="936"/>
      <c r="M259" s="780" t="s">
        <v>442</v>
      </c>
      <c r="N259" s="780"/>
      <c r="O259" s="780"/>
      <c r="P259" s="780"/>
      <c r="Q259" s="780"/>
      <c r="R259" s="780"/>
      <c r="S259" s="780"/>
      <c r="T259" s="780"/>
      <c r="U259" s="780" t="s">
        <v>527</v>
      </c>
      <c r="V259" s="780"/>
      <c r="W259" s="129"/>
      <c r="X259" s="119">
        <f aca="true" t="shared" si="34" ref="X259:X286">I259*K259</f>
        <v>30000</v>
      </c>
      <c r="Y259" s="80"/>
      <c r="Z259" s="80"/>
      <c r="AD259" s="85"/>
    </row>
    <row r="260" spans="1:30" ht="19.5" customHeight="1">
      <c r="A260" s="63"/>
      <c r="B260" s="74"/>
      <c r="C260" s="760"/>
      <c r="D260" s="872" t="s">
        <v>543</v>
      </c>
      <c r="E260" s="83">
        <f>SUM(X260:X261)/1000</f>
        <v>100</v>
      </c>
      <c r="F260" s="83">
        <v>100</v>
      </c>
      <c r="G260" s="400">
        <f>E260-F260</f>
        <v>0</v>
      </c>
      <c r="H260" s="582" t="s">
        <v>674</v>
      </c>
      <c r="I260" s="692">
        <v>50000</v>
      </c>
      <c r="J260" s="779" t="s">
        <v>441</v>
      </c>
      <c r="K260" s="935">
        <v>2</v>
      </c>
      <c r="L260" s="935"/>
      <c r="M260" s="777" t="s">
        <v>570</v>
      </c>
      <c r="N260" s="777"/>
      <c r="O260" s="777"/>
      <c r="P260" s="777"/>
      <c r="Q260" s="777"/>
      <c r="R260" s="777"/>
      <c r="S260" s="777"/>
      <c r="T260" s="777"/>
      <c r="U260" s="777" t="s">
        <v>527</v>
      </c>
      <c r="V260" s="777"/>
      <c r="W260" s="95"/>
      <c r="X260" s="92">
        <f>I260*K260</f>
        <v>100000</v>
      </c>
      <c r="Y260" s="80"/>
      <c r="Z260" s="80"/>
      <c r="AD260" s="85"/>
    </row>
    <row r="261" spans="1:30" ht="19.5" customHeight="1">
      <c r="A261" s="63"/>
      <c r="B261" s="74"/>
      <c r="C261" s="760"/>
      <c r="D261" s="867"/>
      <c r="E261" s="85"/>
      <c r="F261" s="85"/>
      <c r="G261" s="400"/>
      <c r="H261" s="779"/>
      <c r="I261" s="692"/>
      <c r="J261" s="779"/>
      <c r="K261" s="779"/>
      <c r="L261" s="779"/>
      <c r="M261" s="779"/>
      <c r="N261" s="779"/>
      <c r="O261" s="779"/>
      <c r="P261" s="779"/>
      <c r="Q261" s="779"/>
      <c r="R261" s="779"/>
      <c r="S261" s="779"/>
      <c r="T261" s="779"/>
      <c r="U261" s="779"/>
      <c r="V261" s="779"/>
      <c r="W261" s="80"/>
      <c r="X261" s="118"/>
      <c r="Y261" s="80"/>
      <c r="Z261" s="80"/>
      <c r="AD261" s="85"/>
    </row>
    <row r="262" spans="1:30" ht="19.5" customHeight="1">
      <c r="A262" s="63"/>
      <c r="B262" s="74"/>
      <c r="C262" s="760"/>
      <c r="D262" s="872" t="s">
        <v>544</v>
      </c>
      <c r="E262" s="83">
        <f>SUM(X262:X263)/1000</f>
        <v>66</v>
      </c>
      <c r="F262" s="83">
        <v>66</v>
      </c>
      <c r="G262" s="477">
        <f>E262-F262</f>
        <v>0</v>
      </c>
      <c r="H262" s="98" t="s">
        <v>618</v>
      </c>
      <c r="I262" s="690">
        <v>66000</v>
      </c>
      <c r="J262" s="777" t="s">
        <v>441</v>
      </c>
      <c r="K262" s="935">
        <v>1</v>
      </c>
      <c r="L262" s="935"/>
      <c r="M262" s="777" t="s">
        <v>442</v>
      </c>
      <c r="N262" s="777"/>
      <c r="O262" s="777"/>
      <c r="P262" s="777"/>
      <c r="Q262" s="777"/>
      <c r="R262" s="777"/>
      <c r="S262" s="777"/>
      <c r="T262" s="777"/>
      <c r="U262" s="777" t="s">
        <v>527</v>
      </c>
      <c r="V262" s="777"/>
      <c r="W262" s="95"/>
      <c r="X262" s="92">
        <f t="shared" si="34"/>
        <v>66000</v>
      </c>
      <c r="Y262" s="80"/>
      <c r="Z262" s="80"/>
      <c r="AD262" s="85"/>
    </row>
    <row r="263" spans="1:30" ht="19.5" customHeight="1">
      <c r="A263" s="63"/>
      <c r="B263" s="74"/>
      <c r="C263" s="760"/>
      <c r="D263" s="867"/>
      <c r="E263" s="85"/>
      <c r="F263" s="85"/>
      <c r="G263" s="620"/>
      <c r="H263" s="59"/>
      <c r="I263" s="691"/>
      <c r="J263" s="780"/>
      <c r="K263" s="780"/>
      <c r="L263" s="780"/>
      <c r="M263" s="780"/>
      <c r="N263" s="780"/>
      <c r="O263" s="780"/>
      <c r="P263" s="780"/>
      <c r="Q263" s="780"/>
      <c r="R263" s="780"/>
      <c r="S263" s="780"/>
      <c r="T263" s="780"/>
      <c r="U263" s="780"/>
      <c r="V263" s="780"/>
      <c r="W263" s="129"/>
      <c r="X263" s="119"/>
      <c r="Y263" s="80"/>
      <c r="Z263" s="80"/>
      <c r="AD263" s="85"/>
    </row>
    <row r="264" spans="1:30" ht="20.25" customHeight="1">
      <c r="A264" s="63"/>
      <c r="B264" s="74"/>
      <c r="C264" s="760"/>
      <c r="D264" s="872" t="s">
        <v>545</v>
      </c>
      <c r="E264" s="83">
        <f>SUM(X264:X265)/1000</f>
        <v>500</v>
      </c>
      <c r="F264" s="83">
        <v>500</v>
      </c>
      <c r="G264" s="400">
        <f>E264-F264</f>
        <v>0</v>
      </c>
      <c r="H264" s="582" t="s">
        <v>619</v>
      </c>
      <c r="I264" s="692">
        <v>110000</v>
      </c>
      <c r="J264" s="779" t="s">
        <v>441</v>
      </c>
      <c r="K264" s="935">
        <v>4</v>
      </c>
      <c r="L264" s="935"/>
      <c r="M264" s="779" t="s">
        <v>570</v>
      </c>
      <c r="N264" s="779"/>
      <c r="O264" s="779"/>
      <c r="P264" s="779"/>
      <c r="Q264" s="779"/>
      <c r="R264" s="779"/>
      <c r="S264" s="779"/>
      <c r="T264" s="779"/>
      <c r="U264" s="779" t="s">
        <v>527</v>
      </c>
      <c r="V264" s="779"/>
      <c r="W264" s="80"/>
      <c r="X264" s="118">
        <f t="shared" si="34"/>
        <v>440000</v>
      </c>
      <c r="Y264" s="80"/>
      <c r="Z264" s="80"/>
      <c r="AD264" s="85"/>
    </row>
    <row r="265" spans="1:30" ht="20.25" customHeight="1">
      <c r="A265" s="63"/>
      <c r="B265" s="74"/>
      <c r="C265" s="760"/>
      <c r="D265" s="867"/>
      <c r="E265" s="85"/>
      <c r="F265" s="85"/>
      <c r="G265" s="400"/>
      <c r="H265" s="582" t="s">
        <v>614</v>
      </c>
      <c r="I265" s="692">
        <v>6000</v>
      </c>
      <c r="J265" s="779" t="s">
        <v>441</v>
      </c>
      <c r="K265" s="936">
        <v>10</v>
      </c>
      <c r="L265" s="936"/>
      <c r="M265" s="779" t="s">
        <v>231</v>
      </c>
      <c r="N265" s="779"/>
      <c r="O265" s="779"/>
      <c r="P265" s="779"/>
      <c r="Q265" s="779"/>
      <c r="R265" s="779"/>
      <c r="S265" s="779"/>
      <c r="T265" s="779"/>
      <c r="U265" s="779" t="s">
        <v>527</v>
      </c>
      <c r="V265" s="779"/>
      <c r="W265" s="80"/>
      <c r="X265" s="118">
        <f t="shared" si="34"/>
        <v>60000</v>
      </c>
      <c r="Y265" s="80"/>
      <c r="Z265" s="80"/>
      <c r="AD265" s="85"/>
    </row>
    <row r="266" spans="1:30" ht="20.25" customHeight="1">
      <c r="A266" s="63"/>
      <c r="B266" s="74"/>
      <c r="C266" s="760"/>
      <c r="D266" s="872" t="s">
        <v>546</v>
      </c>
      <c r="E266" s="83">
        <f>SUM(X266:X267)/1000</f>
        <v>300</v>
      </c>
      <c r="F266" s="83">
        <v>300</v>
      </c>
      <c r="G266" s="477">
        <f>E266-F266</f>
        <v>0</v>
      </c>
      <c r="H266" s="98" t="s">
        <v>620</v>
      </c>
      <c r="I266" s="690">
        <v>30000</v>
      </c>
      <c r="J266" s="777" t="s">
        <v>441</v>
      </c>
      <c r="K266" s="935">
        <v>5</v>
      </c>
      <c r="L266" s="935"/>
      <c r="M266" s="777" t="s">
        <v>621</v>
      </c>
      <c r="N266" s="777"/>
      <c r="O266" s="777"/>
      <c r="P266" s="777"/>
      <c r="Q266" s="777"/>
      <c r="R266" s="777"/>
      <c r="S266" s="777"/>
      <c r="T266" s="777"/>
      <c r="U266" s="777" t="s">
        <v>527</v>
      </c>
      <c r="V266" s="777"/>
      <c r="W266" s="95"/>
      <c r="X266" s="92">
        <f t="shared" si="34"/>
        <v>150000</v>
      </c>
      <c r="Y266" s="80"/>
      <c r="Z266" s="80"/>
      <c r="AD266" s="85"/>
    </row>
    <row r="267" spans="1:30" ht="20.25" customHeight="1">
      <c r="A267" s="63"/>
      <c r="B267" s="74"/>
      <c r="C267" s="760"/>
      <c r="D267" s="875"/>
      <c r="E267" s="90"/>
      <c r="F267" s="90"/>
      <c r="G267" s="620"/>
      <c r="H267" s="59" t="s">
        <v>622</v>
      </c>
      <c r="I267" s="691">
        <v>15000</v>
      </c>
      <c r="J267" s="780" t="s">
        <v>441</v>
      </c>
      <c r="K267" s="936">
        <v>5</v>
      </c>
      <c r="L267" s="936"/>
      <c r="M267" s="780" t="s">
        <v>525</v>
      </c>
      <c r="N267" s="780" t="s">
        <v>606</v>
      </c>
      <c r="O267" s="780">
        <v>2</v>
      </c>
      <c r="P267" s="780" t="s">
        <v>570</v>
      </c>
      <c r="Q267" s="780"/>
      <c r="R267" s="780"/>
      <c r="S267" s="780"/>
      <c r="T267" s="780"/>
      <c r="U267" s="780" t="s">
        <v>527</v>
      </c>
      <c r="V267" s="780"/>
      <c r="W267" s="129"/>
      <c r="X267" s="119">
        <f>I267*K267*O267</f>
        <v>150000</v>
      </c>
      <c r="Y267" s="80"/>
      <c r="Z267" s="80"/>
      <c r="AD267" s="85"/>
    </row>
    <row r="268" spans="1:30" ht="19.5" customHeight="1">
      <c r="A268" s="359"/>
      <c r="B268" s="358"/>
      <c r="C268" s="167"/>
      <c r="D268" s="872" t="s">
        <v>677</v>
      </c>
      <c r="E268" s="85">
        <f>SUM(X268:X271)/1000</f>
        <v>600</v>
      </c>
      <c r="F268" s="85">
        <v>600</v>
      </c>
      <c r="G268" s="400">
        <f>E268-F268</f>
        <v>0</v>
      </c>
      <c r="H268" s="582" t="s">
        <v>623</v>
      </c>
      <c r="I268" s="692">
        <v>70000</v>
      </c>
      <c r="J268" s="779" t="s">
        <v>441</v>
      </c>
      <c r="K268" s="937">
        <v>1</v>
      </c>
      <c r="L268" s="937"/>
      <c r="M268" s="130" t="s">
        <v>500</v>
      </c>
      <c r="N268" s="779"/>
      <c r="O268" s="779"/>
      <c r="P268" s="779"/>
      <c r="Q268" s="779"/>
      <c r="R268" s="779"/>
      <c r="S268" s="779"/>
      <c r="T268" s="779"/>
      <c r="U268" s="779" t="s">
        <v>527</v>
      </c>
      <c r="V268" s="779"/>
      <c r="W268" s="80"/>
      <c r="X268" s="118">
        <f t="shared" si="34"/>
        <v>70000</v>
      </c>
      <c r="Y268" s="80"/>
      <c r="Z268" s="80"/>
      <c r="AD268" s="85"/>
    </row>
    <row r="269" spans="1:30" ht="19.5" customHeight="1">
      <c r="A269" s="359"/>
      <c r="B269" s="358"/>
      <c r="C269" s="167"/>
      <c r="D269" s="867"/>
      <c r="E269" s="85"/>
      <c r="F269" s="85"/>
      <c r="G269" s="400"/>
      <c r="H269" s="582" t="s">
        <v>624</v>
      </c>
      <c r="I269" s="692">
        <v>30000</v>
      </c>
      <c r="J269" s="779" t="s">
        <v>606</v>
      </c>
      <c r="K269" s="937">
        <v>4</v>
      </c>
      <c r="L269" s="937"/>
      <c r="M269" s="779" t="s">
        <v>570</v>
      </c>
      <c r="N269" s="779"/>
      <c r="O269" s="779"/>
      <c r="P269" s="779"/>
      <c r="Q269" s="779"/>
      <c r="R269" s="779"/>
      <c r="S269" s="779"/>
      <c r="T269" s="779"/>
      <c r="U269" s="779" t="s">
        <v>603</v>
      </c>
      <c r="V269" s="779"/>
      <c r="W269" s="80"/>
      <c r="X269" s="118">
        <f t="shared" si="34"/>
        <v>120000</v>
      </c>
      <c r="Y269" s="80"/>
      <c r="Z269" s="80"/>
      <c r="AD269" s="85"/>
    </row>
    <row r="270" spans="1:30" ht="19.5" customHeight="1">
      <c r="A270" s="359"/>
      <c r="B270" s="358"/>
      <c r="C270" s="167"/>
      <c r="D270" s="782"/>
      <c r="E270" s="85"/>
      <c r="F270" s="85"/>
      <c r="G270" s="400"/>
      <c r="H270" s="582" t="s">
        <v>625</v>
      </c>
      <c r="I270" s="692">
        <v>350000</v>
      </c>
      <c r="J270" s="779" t="s">
        <v>606</v>
      </c>
      <c r="K270" s="937">
        <v>1</v>
      </c>
      <c r="L270" s="937"/>
      <c r="M270" s="779" t="s">
        <v>626</v>
      </c>
      <c r="N270" s="779"/>
      <c r="O270" s="779"/>
      <c r="P270" s="779"/>
      <c r="Q270" s="779"/>
      <c r="R270" s="779"/>
      <c r="S270" s="779"/>
      <c r="T270" s="779"/>
      <c r="U270" s="779" t="s">
        <v>603</v>
      </c>
      <c r="V270" s="779"/>
      <c r="W270" s="80"/>
      <c r="X270" s="118">
        <f t="shared" si="34"/>
        <v>350000</v>
      </c>
      <c r="Y270" s="80"/>
      <c r="Z270" s="80"/>
      <c r="AD270" s="85"/>
    </row>
    <row r="271" spans="1:30" ht="19.5" customHeight="1" thickBot="1">
      <c r="A271" s="100"/>
      <c r="B271" s="152"/>
      <c r="C271" s="240"/>
      <c r="D271" s="792"/>
      <c r="E271" s="138"/>
      <c r="F271" s="138"/>
      <c r="G271" s="622"/>
      <c r="H271" s="734" t="s">
        <v>627</v>
      </c>
      <c r="I271" s="698">
        <v>2000</v>
      </c>
      <c r="J271" s="778" t="s">
        <v>441</v>
      </c>
      <c r="K271" s="944">
        <v>3</v>
      </c>
      <c r="L271" s="944"/>
      <c r="M271" s="778" t="s">
        <v>525</v>
      </c>
      <c r="N271" s="778" t="s">
        <v>606</v>
      </c>
      <c r="O271" s="778">
        <v>10</v>
      </c>
      <c r="P271" s="778" t="s">
        <v>231</v>
      </c>
      <c r="Q271" s="778"/>
      <c r="R271" s="778"/>
      <c r="S271" s="778"/>
      <c r="T271" s="778"/>
      <c r="U271" s="778" t="s">
        <v>527</v>
      </c>
      <c r="V271" s="778"/>
      <c r="W271" s="170"/>
      <c r="X271" s="141">
        <f>I271*K271*O271</f>
        <v>60000</v>
      </c>
      <c r="Y271" s="80"/>
      <c r="Z271" s="80"/>
      <c r="AD271" s="85"/>
    </row>
    <row r="272" spans="1:30" ht="18" customHeight="1">
      <c r="A272" s="545" t="str">
        <f>A243</f>
        <v>03.사업비</v>
      </c>
      <c r="B272" s="198" t="str">
        <f>B239</f>
        <v>33.사업비</v>
      </c>
      <c r="C272" s="869" t="str">
        <f>C253</f>
        <v>332.사회심리재활사업비</v>
      </c>
      <c r="D272" s="869" t="s">
        <v>628</v>
      </c>
      <c r="E272" s="247">
        <f>SUM(X272:X274)/1000</f>
        <v>400</v>
      </c>
      <c r="F272" s="247">
        <v>400</v>
      </c>
      <c r="G272" s="719">
        <f>E272-F272</f>
        <v>0</v>
      </c>
      <c r="H272" s="155" t="s">
        <v>629</v>
      </c>
      <c r="I272" s="716">
        <v>5000</v>
      </c>
      <c r="J272" s="785" t="s">
        <v>441</v>
      </c>
      <c r="K272" s="938">
        <v>10</v>
      </c>
      <c r="L272" s="938"/>
      <c r="M272" s="785" t="s">
        <v>525</v>
      </c>
      <c r="N272" s="785" t="s">
        <v>606</v>
      </c>
      <c r="O272" s="785">
        <v>3</v>
      </c>
      <c r="P272" s="785" t="s">
        <v>442</v>
      </c>
      <c r="Q272" s="785"/>
      <c r="R272" s="785"/>
      <c r="S272" s="785"/>
      <c r="T272" s="785"/>
      <c r="U272" s="785" t="s">
        <v>527</v>
      </c>
      <c r="V272" s="785"/>
      <c r="W272" s="543"/>
      <c r="X272" s="199">
        <f>I272*K272*O272</f>
        <v>150000</v>
      </c>
      <c r="Y272" s="80"/>
      <c r="Z272" s="80"/>
      <c r="AD272" s="85"/>
    </row>
    <row r="273" spans="1:30" ht="18" customHeight="1">
      <c r="A273" s="63"/>
      <c r="B273" s="74"/>
      <c r="C273" s="867"/>
      <c r="D273" s="867"/>
      <c r="E273" s="85"/>
      <c r="F273" s="85"/>
      <c r="G273" s="551"/>
      <c r="H273" s="582" t="s">
        <v>630</v>
      </c>
      <c r="I273" s="692">
        <v>50000</v>
      </c>
      <c r="J273" s="779" t="s">
        <v>606</v>
      </c>
      <c r="K273" s="937">
        <v>1</v>
      </c>
      <c r="L273" s="937"/>
      <c r="M273" s="130" t="s">
        <v>500</v>
      </c>
      <c r="N273" s="779"/>
      <c r="O273" s="779"/>
      <c r="P273" s="779"/>
      <c r="Q273" s="779"/>
      <c r="R273" s="779"/>
      <c r="S273" s="779"/>
      <c r="T273" s="779"/>
      <c r="U273" s="779" t="s">
        <v>603</v>
      </c>
      <c r="V273" s="779"/>
      <c r="W273" s="80"/>
      <c r="X273" s="118">
        <f aca="true" t="shared" si="35" ref="X273">I273*K273</f>
        <v>50000</v>
      </c>
      <c r="Y273" s="80"/>
      <c r="Z273" s="80"/>
      <c r="AD273" s="85"/>
    </row>
    <row r="274" spans="1:30" ht="18" customHeight="1">
      <c r="A274" s="63"/>
      <c r="B274" s="74"/>
      <c r="C274" s="867"/>
      <c r="D274" s="782"/>
      <c r="E274" s="85"/>
      <c r="F274" s="85"/>
      <c r="G274" s="551"/>
      <c r="H274" s="582" t="s">
        <v>631</v>
      </c>
      <c r="I274" s="692">
        <v>2000</v>
      </c>
      <c r="J274" s="779" t="s">
        <v>606</v>
      </c>
      <c r="K274" s="937">
        <v>10</v>
      </c>
      <c r="L274" s="937"/>
      <c r="M274" s="779" t="s">
        <v>632</v>
      </c>
      <c r="N274" s="779" t="s">
        <v>606</v>
      </c>
      <c r="O274" s="779">
        <v>10</v>
      </c>
      <c r="P274" s="779" t="s">
        <v>445</v>
      </c>
      <c r="Q274" s="779"/>
      <c r="R274" s="779"/>
      <c r="S274" s="779"/>
      <c r="T274" s="779"/>
      <c r="U274" s="779" t="s">
        <v>603</v>
      </c>
      <c r="V274" s="779"/>
      <c r="W274" s="80"/>
      <c r="X274" s="118">
        <f>I274*K274*O274</f>
        <v>200000</v>
      </c>
      <c r="Y274" s="80"/>
      <c r="Z274" s="80"/>
      <c r="AD274" s="85"/>
    </row>
    <row r="275" spans="1:30" ht="18" customHeight="1">
      <c r="A275" s="63"/>
      <c r="B275" s="74"/>
      <c r="C275" s="760"/>
      <c r="D275" s="872" t="s">
        <v>547</v>
      </c>
      <c r="E275" s="83">
        <f>SUM(X275:X276)/1000</f>
        <v>150</v>
      </c>
      <c r="F275" s="83">
        <v>150</v>
      </c>
      <c r="G275" s="477">
        <f>E275-F275</f>
        <v>0</v>
      </c>
      <c r="H275" s="98" t="s">
        <v>633</v>
      </c>
      <c r="I275" s="690">
        <v>5000</v>
      </c>
      <c r="J275" s="777" t="s">
        <v>441</v>
      </c>
      <c r="K275" s="935">
        <v>10</v>
      </c>
      <c r="L275" s="935"/>
      <c r="M275" s="777" t="s">
        <v>525</v>
      </c>
      <c r="N275" s="777" t="s">
        <v>606</v>
      </c>
      <c r="O275" s="777">
        <v>3</v>
      </c>
      <c r="P275" s="777" t="s">
        <v>442</v>
      </c>
      <c r="Q275" s="777"/>
      <c r="R275" s="777"/>
      <c r="S275" s="777"/>
      <c r="T275" s="777"/>
      <c r="U275" s="777" t="s">
        <v>527</v>
      </c>
      <c r="V275" s="777"/>
      <c r="W275" s="95"/>
      <c r="X275" s="92">
        <f>I275*K275*O275</f>
        <v>150000</v>
      </c>
      <c r="Y275" s="80"/>
      <c r="Z275" s="80"/>
      <c r="AD275" s="85"/>
    </row>
    <row r="276" spans="1:30" ht="18" customHeight="1">
      <c r="A276" s="63"/>
      <c r="B276" s="74"/>
      <c r="C276" s="760"/>
      <c r="D276" s="867"/>
      <c r="E276" s="85"/>
      <c r="F276" s="85"/>
      <c r="G276" s="620"/>
      <c r="H276" s="59"/>
      <c r="I276" s="691"/>
      <c r="J276" s="780"/>
      <c r="K276" s="780"/>
      <c r="L276" s="780"/>
      <c r="M276" s="780"/>
      <c r="N276" s="780"/>
      <c r="O276" s="780"/>
      <c r="P276" s="780"/>
      <c r="Q276" s="780"/>
      <c r="R276" s="780"/>
      <c r="S276" s="780"/>
      <c r="T276" s="780"/>
      <c r="U276" s="780"/>
      <c r="V276" s="780"/>
      <c r="W276" s="129"/>
      <c r="X276" s="119">
        <f aca="true" t="shared" si="36" ref="X276">I276*K276</f>
        <v>0</v>
      </c>
      <c r="Y276" s="80"/>
      <c r="Z276" s="80"/>
      <c r="AD276" s="85"/>
    </row>
    <row r="277" spans="1:30" ht="18" customHeight="1">
      <c r="A277" s="63"/>
      <c r="B277" s="74"/>
      <c r="C277" s="178"/>
      <c r="D277" s="872" t="s">
        <v>548</v>
      </c>
      <c r="E277" s="83">
        <f>SUM(X277:X281)/1000</f>
        <v>400</v>
      </c>
      <c r="F277" s="83">
        <v>400</v>
      </c>
      <c r="G277" s="400">
        <f>E277-F277</f>
        <v>0</v>
      </c>
      <c r="H277" s="582" t="s">
        <v>634</v>
      </c>
      <c r="I277" s="692">
        <v>2000</v>
      </c>
      <c r="J277" s="779" t="s">
        <v>441</v>
      </c>
      <c r="K277" s="935">
        <v>15</v>
      </c>
      <c r="L277" s="935"/>
      <c r="M277" s="130" t="s">
        <v>525</v>
      </c>
      <c r="N277" s="779" t="s">
        <v>606</v>
      </c>
      <c r="O277" s="779">
        <v>4</v>
      </c>
      <c r="P277" s="779" t="s">
        <v>635</v>
      </c>
      <c r="Q277" s="779"/>
      <c r="R277" s="779"/>
      <c r="S277" s="779"/>
      <c r="T277" s="779"/>
      <c r="U277" s="779"/>
      <c r="V277" s="779"/>
      <c r="W277" s="80"/>
      <c r="X277" s="118">
        <f>I277*K277*O277</f>
        <v>120000</v>
      </c>
      <c r="Y277" s="80"/>
      <c r="Z277" s="80"/>
      <c r="AD277" s="85">
        <v>2910000</v>
      </c>
    </row>
    <row r="278" spans="1:30" ht="18" customHeight="1">
      <c r="A278" s="63"/>
      <c r="B278" s="74"/>
      <c r="C278" s="178"/>
      <c r="D278" s="867"/>
      <c r="E278" s="85"/>
      <c r="F278" s="85"/>
      <c r="G278" s="400"/>
      <c r="H278" s="582" t="s">
        <v>636</v>
      </c>
      <c r="I278" s="692">
        <v>10000</v>
      </c>
      <c r="J278" s="779" t="s">
        <v>441</v>
      </c>
      <c r="K278" s="937">
        <v>5</v>
      </c>
      <c r="L278" s="937"/>
      <c r="M278" s="130" t="s">
        <v>637</v>
      </c>
      <c r="N278" s="779"/>
      <c r="O278" s="779"/>
      <c r="P278" s="779"/>
      <c r="Q278" s="779"/>
      <c r="R278" s="779"/>
      <c r="S278" s="779"/>
      <c r="T278" s="779"/>
      <c r="U278" s="779" t="s">
        <v>603</v>
      </c>
      <c r="V278" s="779"/>
      <c r="W278" s="80"/>
      <c r="X278" s="118">
        <f>I278*K278</f>
        <v>50000</v>
      </c>
      <c r="Y278" s="80"/>
      <c r="Z278" s="80"/>
      <c r="AD278" s="85"/>
    </row>
    <row r="279" spans="1:30" ht="18" customHeight="1">
      <c r="A279" s="63"/>
      <c r="B279" s="74"/>
      <c r="C279" s="178"/>
      <c r="D279" s="867"/>
      <c r="E279" s="85"/>
      <c r="F279" s="85"/>
      <c r="G279" s="400"/>
      <c r="H279" s="582" t="s">
        <v>638</v>
      </c>
      <c r="I279" s="692">
        <v>10000</v>
      </c>
      <c r="J279" s="779" t="s">
        <v>441</v>
      </c>
      <c r="K279" s="937">
        <v>5</v>
      </c>
      <c r="L279" s="937"/>
      <c r="M279" s="130" t="s">
        <v>637</v>
      </c>
      <c r="N279" s="779"/>
      <c r="O279" s="779"/>
      <c r="P279" s="779"/>
      <c r="Q279" s="779"/>
      <c r="R279" s="779"/>
      <c r="S279" s="779"/>
      <c r="T279" s="779"/>
      <c r="U279" s="779" t="s">
        <v>603</v>
      </c>
      <c r="V279" s="779"/>
      <c r="W279" s="80"/>
      <c r="X279" s="118">
        <f>I279*K279</f>
        <v>50000</v>
      </c>
      <c r="Y279" s="80"/>
      <c r="Z279" s="80"/>
      <c r="AD279" s="85"/>
    </row>
    <row r="280" spans="1:30" ht="18" customHeight="1">
      <c r="A280" s="63"/>
      <c r="B280" s="74"/>
      <c r="C280" s="178"/>
      <c r="D280" s="782"/>
      <c r="E280" s="85"/>
      <c r="F280" s="85"/>
      <c r="G280" s="400"/>
      <c r="H280" s="582" t="s">
        <v>639</v>
      </c>
      <c r="I280" s="692">
        <v>2000</v>
      </c>
      <c r="J280" s="779" t="s">
        <v>441</v>
      </c>
      <c r="K280" s="937">
        <v>10</v>
      </c>
      <c r="L280" s="937"/>
      <c r="M280" s="130" t="s">
        <v>500</v>
      </c>
      <c r="N280" s="779"/>
      <c r="O280" s="779"/>
      <c r="P280" s="779"/>
      <c r="Q280" s="779"/>
      <c r="R280" s="779"/>
      <c r="S280" s="779"/>
      <c r="T280" s="779"/>
      <c r="U280" s="779" t="s">
        <v>527</v>
      </c>
      <c r="V280" s="779"/>
      <c r="W280" s="80"/>
      <c r="X280" s="118">
        <f aca="true" t="shared" si="37" ref="X280:X281">I280*K280</f>
        <v>20000</v>
      </c>
      <c r="Y280" s="80"/>
      <c r="Z280" s="80"/>
      <c r="AD280" s="85"/>
    </row>
    <row r="281" spans="1:30" ht="18" customHeight="1">
      <c r="A281" s="63"/>
      <c r="B281" s="74"/>
      <c r="C281" s="178"/>
      <c r="D281" s="781"/>
      <c r="E281" s="85"/>
      <c r="F281" s="85"/>
      <c r="G281" s="400"/>
      <c r="H281" s="699" t="s">
        <v>640</v>
      </c>
      <c r="I281" s="691">
        <v>16000</v>
      </c>
      <c r="J281" s="780" t="s">
        <v>441</v>
      </c>
      <c r="K281" s="936">
        <v>10</v>
      </c>
      <c r="L281" s="936"/>
      <c r="M281" s="694" t="s">
        <v>231</v>
      </c>
      <c r="N281" s="780"/>
      <c r="O281" s="780"/>
      <c r="P281" s="780"/>
      <c r="Q281" s="780"/>
      <c r="R281" s="780"/>
      <c r="S281" s="780"/>
      <c r="T281" s="780"/>
      <c r="U281" s="780" t="s">
        <v>527</v>
      </c>
      <c r="V281" s="780"/>
      <c r="W281" s="129"/>
      <c r="X281" s="119">
        <f t="shared" si="37"/>
        <v>160000</v>
      </c>
      <c r="Y281" s="80"/>
      <c r="Z281" s="80"/>
      <c r="AD281" s="85"/>
    </row>
    <row r="282" spans="1:30" ht="18" customHeight="1">
      <c r="A282" s="63"/>
      <c r="B282" s="74"/>
      <c r="C282" s="178"/>
      <c r="D282" s="872" t="s">
        <v>549</v>
      </c>
      <c r="E282" s="83">
        <f>SUM(X282:X283)/1000</f>
        <v>55</v>
      </c>
      <c r="F282" s="83">
        <v>55</v>
      </c>
      <c r="G282" s="399">
        <f>E282-F282</f>
        <v>0</v>
      </c>
      <c r="H282" s="700" t="s">
        <v>614</v>
      </c>
      <c r="I282" s="692">
        <v>2500</v>
      </c>
      <c r="J282" s="779" t="s">
        <v>441</v>
      </c>
      <c r="K282" s="937">
        <v>2</v>
      </c>
      <c r="L282" s="937"/>
      <c r="M282" s="130" t="s">
        <v>525</v>
      </c>
      <c r="N282" s="779" t="s">
        <v>606</v>
      </c>
      <c r="O282" s="779">
        <v>11</v>
      </c>
      <c r="P282" s="779" t="s">
        <v>231</v>
      </c>
      <c r="Q282" s="779"/>
      <c r="R282" s="779"/>
      <c r="S282" s="779"/>
      <c r="T282" s="779"/>
      <c r="U282" s="779" t="s">
        <v>527</v>
      </c>
      <c r="V282" s="779"/>
      <c r="W282" s="80"/>
      <c r="X282" s="118">
        <f>I282*K282*O282</f>
        <v>55000</v>
      </c>
      <c r="Y282" s="80"/>
      <c r="Z282" s="80"/>
      <c r="AD282" s="85"/>
    </row>
    <row r="283" spans="1:30" ht="18" customHeight="1">
      <c r="A283" s="63"/>
      <c r="B283" s="74"/>
      <c r="C283" s="178"/>
      <c r="D283" s="867"/>
      <c r="E283" s="85"/>
      <c r="F283" s="85"/>
      <c r="G283" s="400"/>
      <c r="H283" s="79"/>
      <c r="I283" s="692"/>
      <c r="J283" s="779"/>
      <c r="K283" s="937"/>
      <c r="L283" s="937"/>
      <c r="M283" s="779"/>
      <c r="N283" s="779"/>
      <c r="O283" s="779"/>
      <c r="P283" s="779"/>
      <c r="Q283" s="779"/>
      <c r="R283" s="779"/>
      <c r="S283" s="779"/>
      <c r="T283" s="779"/>
      <c r="U283" s="779"/>
      <c r="V283" s="779"/>
      <c r="W283" s="80"/>
      <c r="X283" s="118"/>
      <c r="Y283" s="80"/>
      <c r="Z283" s="80"/>
      <c r="AD283" s="85"/>
    </row>
    <row r="284" spans="1:30" ht="18" customHeight="1">
      <c r="A284" s="63"/>
      <c r="B284" s="74"/>
      <c r="C284" s="178"/>
      <c r="D284" s="872" t="s">
        <v>550</v>
      </c>
      <c r="E284" s="83">
        <f>SUM(X284:X285)/1000</f>
        <v>1500</v>
      </c>
      <c r="F284" s="83">
        <v>1500</v>
      </c>
      <c r="G284" s="477">
        <f>E284-F284</f>
        <v>0</v>
      </c>
      <c r="H284" s="98" t="s">
        <v>641</v>
      </c>
      <c r="I284" s="690">
        <v>12500</v>
      </c>
      <c r="J284" s="777" t="s">
        <v>441</v>
      </c>
      <c r="K284" s="935">
        <v>30</v>
      </c>
      <c r="L284" s="935"/>
      <c r="M284" s="777" t="s">
        <v>525</v>
      </c>
      <c r="N284" s="777" t="s">
        <v>606</v>
      </c>
      <c r="O284" s="777">
        <v>4</v>
      </c>
      <c r="P284" s="777" t="s">
        <v>570</v>
      </c>
      <c r="Q284" s="777"/>
      <c r="R284" s="777"/>
      <c r="S284" s="777"/>
      <c r="T284" s="777"/>
      <c r="U284" s="777" t="s">
        <v>527</v>
      </c>
      <c r="V284" s="777"/>
      <c r="W284" s="95"/>
      <c r="X284" s="92">
        <f>I284*K284*O284</f>
        <v>1500000</v>
      </c>
      <c r="Y284" s="80"/>
      <c r="Z284" s="80"/>
      <c r="AD284" s="85"/>
    </row>
    <row r="285" spans="1:30" ht="18" customHeight="1">
      <c r="A285" s="63"/>
      <c r="B285" s="74"/>
      <c r="C285" s="178"/>
      <c r="D285" s="867"/>
      <c r="E285" s="85"/>
      <c r="F285" s="85"/>
      <c r="G285" s="620"/>
      <c r="H285" s="59"/>
      <c r="I285" s="691"/>
      <c r="J285" s="780"/>
      <c r="K285" s="936"/>
      <c r="L285" s="936"/>
      <c r="M285" s="780"/>
      <c r="N285" s="780"/>
      <c r="O285" s="780"/>
      <c r="P285" s="780"/>
      <c r="Q285" s="780"/>
      <c r="R285" s="780"/>
      <c r="S285" s="780"/>
      <c r="T285" s="780"/>
      <c r="U285" s="780"/>
      <c r="V285" s="780"/>
      <c r="W285" s="129"/>
      <c r="X285" s="119"/>
      <c r="Y285" s="80"/>
      <c r="Z285" s="80"/>
      <c r="AD285" s="85"/>
    </row>
    <row r="286" spans="1:30" ht="18" customHeight="1">
      <c r="A286" s="63"/>
      <c r="B286" s="74"/>
      <c r="C286" s="178"/>
      <c r="D286" s="872" t="s">
        <v>642</v>
      </c>
      <c r="E286" s="83">
        <f>SUM(X286:X287)/1000</f>
        <v>300</v>
      </c>
      <c r="F286" s="83">
        <v>300</v>
      </c>
      <c r="G286" s="477">
        <f>E286-F286</f>
        <v>0</v>
      </c>
      <c r="H286" s="582" t="s">
        <v>643</v>
      </c>
      <c r="I286" s="692">
        <v>100000</v>
      </c>
      <c r="J286" s="779" t="s">
        <v>441</v>
      </c>
      <c r="K286" s="935">
        <v>3</v>
      </c>
      <c r="L286" s="935"/>
      <c r="M286" s="130" t="s">
        <v>635</v>
      </c>
      <c r="N286" s="779"/>
      <c r="O286" s="779"/>
      <c r="P286" s="779"/>
      <c r="Q286" s="779"/>
      <c r="R286" s="779"/>
      <c r="S286" s="779"/>
      <c r="T286" s="779"/>
      <c r="U286" s="779" t="s">
        <v>527</v>
      </c>
      <c r="V286" s="779"/>
      <c r="W286" s="80"/>
      <c r="X286" s="118">
        <f t="shared" si="34"/>
        <v>300000</v>
      </c>
      <c r="Y286" s="80"/>
      <c r="Z286" s="80"/>
      <c r="AD286" s="85"/>
    </row>
    <row r="287" spans="1:30" ht="22.5" customHeight="1">
      <c r="A287" s="63"/>
      <c r="B287" s="74"/>
      <c r="C287" s="178"/>
      <c r="D287" s="867"/>
      <c r="E287" s="85"/>
      <c r="F287" s="85"/>
      <c r="G287" s="551"/>
      <c r="H287" s="79"/>
      <c r="I287" s="692"/>
      <c r="J287" s="779"/>
      <c r="K287" s="779"/>
      <c r="L287" s="779"/>
      <c r="M287" s="779"/>
      <c r="N287" s="779"/>
      <c r="O287" s="779"/>
      <c r="P287" s="779"/>
      <c r="Q287" s="779"/>
      <c r="R287" s="779"/>
      <c r="S287" s="779"/>
      <c r="T287" s="779"/>
      <c r="U287" s="779"/>
      <c r="V287" s="779"/>
      <c r="W287" s="80"/>
      <c r="X287" s="118"/>
      <c r="Y287" s="80"/>
      <c r="Z287" s="80"/>
      <c r="AD287" s="85"/>
    </row>
    <row r="288" spans="1:30" ht="16.5" customHeight="1">
      <c r="A288" s="63"/>
      <c r="B288" s="74"/>
      <c r="C288" s="178"/>
      <c r="D288" s="872" t="s">
        <v>566</v>
      </c>
      <c r="E288" s="83">
        <f>SUM(X288:X291)/1000</f>
        <v>2952</v>
      </c>
      <c r="F288" s="83">
        <v>2952</v>
      </c>
      <c r="G288" s="477">
        <f>E288-F288</f>
        <v>0</v>
      </c>
      <c r="H288" s="98" t="s">
        <v>644</v>
      </c>
      <c r="I288" s="690">
        <v>500000</v>
      </c>
      <c r="J288" s="777" t="s">
        <v>441</v>
      </c>
      <c r="K288" s="935">
        <v>1</v>
      </c>
      <c r="L288" s="935"/>
      <c r="M288" s="777" t="s">
        <v>507</v>
      </c>
      <c r="N288" s="777" t="s">
        <v>606</v>
      </c>
      <c r="O288" s="777">
        <v>3</v>
      </c>
      <c r="P288" s="777" t="s">
        <v>442</v>
      </c>
      <c r="Q288" s="777"/>
      <c r="R288" s="777"/>
      <c r="S288" s="777"/>
      <c r="T288" s="777"/>
      <c r="U288" s="777" t="s">
        <v>527</v>
      </c>
      <c r="V288" s="777"/>
      <c r="W288" s="95"/>
      <c r="X288" s="92">
        <f>I288*K288*O288</f>
        <v>1500000</v>
      </c>
      <c r="Y288" s="80"/>
      <c r="Z288" s="80"/>
      <c r="AD288" s="85"/>
    </row>
    <row r="289" spans="1:30" ht="16.5" customHeight="1">
      <c r="A289" s="63"/>
      <c r="B289" s="74"/>
      <c r="C289" s="178"/>
      <c r="D289" s="867"/>
      <c r="E289" s="85"/>
      <c r="F289" s="85"/>
      <c r="G289" s="551"/>
      <c r="H289" s="582" t="s">
        <v>645</v>
      </c>
      <c r="I289" s="692">
        <v>2000</v>
      </c>
      <c r="J289" s="779" t="s">
        <v>441</v>
      </c>
      <c r="K289" s="937">
        <v>30</v>
      </c>
      <c r="L289" s="937"/>
      <c r="M289" s="130" t="s">
        <v>525</v>
      </c>
      <c r="N289" s="779" t="s">
        <v>441</v>
      </c>
      <c r="O289" s="779">
        <v>3</v>
      </c>
      <c r="P289" s="130" t="s">
        <v>442</v>
      </c>
      <c r="Q289" s="779"/>
      <c r="R289" s="779"/>
      <c r="S289" s="779"/>
      <c r="T289" s="779"/>
      <c r="U289" s="130" t="s">
        <v>332</v>
      </c>
      <c r="V289" s="779"/>
      <c r="W289" s="80"/>
      <c r="X289" s="118">
        <f>I289*K289*O289</f>
        <v>180000</v>
      </c>
      <c r="Y289" s="80"/>
      <c r="Z289" s="80"/>
      <c r="AD289" s="85"/>
    </row>
    <row r="290" spans="1:30" ht="16.5" customHeight="1">
      <c r="A290" s="63"/>
      <c r="B290" s="74"/>
      <c r="C290" s="178"/>
      <c r="D290" s="867"/>
      <c r="E290" s="85"/>
      <c r="F290" s="85"/>
      <c r="G290" s="551"/>
      <c r="H290" s="582" t="s">
        <v>646</v>
      </c>
      <c r="I290" s="692">
        <v>6000</v>
      </c>
      <c r="J290" s="779" t="s">
        <v>441</v>
      </c>
      <c r="K290" s="937">
        <v>30</v>
      </c>
      <c r="L290" s="937"/>
      <c r="M290" s="130" t="s">
        <v>525</v>
      </c>
      <c r="N290" s="779" t="s">
        <v>441</v>
      </c>
      <c r="O290" s="779">
        <v>6</v>
      </c>
      <c r="P290" s="130" t="s">
        <v>626</v>
      </c>
      <c r="Q290" s="130"/>
      <c r="R290" s="779"/>
      <c r="S290" s="779"/>
      <c r="T290" s="779"/>
      <c r="U290" s="130" t="s">
        <v>332</v>
      </c>
      <c r="V290" s="779"/>
      <c r="W290" s="80"/>
      <c r="X290" s="118">
        <f>I290*K290*O290</f>
        <v>1080000</v>
      </c>
      <c r="Y290" s="80"/>
      <c r="Z290" s="80"/>
      <c r="AD290" s="85"/>
    </row>
    <row r="291" spans="1:30" ht="16.5" customHeight="1">
      <c r="A291" s="63"/>
      <c r="B291" s="74"/>
      <c r="C291" s="178"/>
      <c r="D291" s="781"/>
      <c r="E291" s="85"/>
      <c r="F291" s="85"/>
      <c r="G291" s="551"/>
      <c r="H291" s="582" t="s">
        <v>647</v>
      </c>
      <c r="I291" s="692">
        <v>64000</v>
      </c>
      <c r="J291" s="779" t="s">
        <v>441</v>
      </c>
      <c r="K291" s="937">
        <v>3</v>
      </c>
      <c r="L291" s="937"/>
      <c r="M291" s="130" t="s">
        <v>442</v>
      </c>
      <c r="N291" s="779"/>
      <c r="O291" s="779"/>
      <c r="P291" s="779"/>
      <c r="Q291" s="779"/>
      <c r="R291" s="779"/>
      <c r="S291" s="779"/>
      <c r="T291" s="779"/>
      <c r="U291" s="130" t="s">
        <v>332</v>
      </c>
      <c r="V291" s="779"/>
      <c r="W291" s="80"/>
      <c r="X291" s="118">
        <f>I291*K291</f>
        <v>192000</v>
      </c>
      <c r="Y291" s="80"/>
      <c r="Z291" s="80"/>
      <c r="AD291" s="85"/>
    </row>
    <row r="292" spans="1:30" ht="18" customHeight="1">
      <c r="A292" s="63"/>
      <c r="B292" s="74"/>
      <c r="C292" s="178"/>
      <c r="D292" s="872" t="s">
        <v>551</v>
      </c>
      <c r="E292" s="83">
        <f>SUM(X292:X295)/1000</f>
        <v>3030</v>
      </c>
      <c r="F292" s="83">
        <v>3030</v>
      </c>
      <c r="G292" s="399">
        <f>E292-F292</f>
        <v>0</v>
      </c>
      <c r="H292" s="98" t="s">
        <v>644</v>
      </c>
      <c r="I292" s="690">
        <v>500000</v>
      </c>
      <c r="J292" s="777" t="s">
        <v>441</v>
      </c>
      <c r="K292" s="935">
        <v>2</v>
      </c>
      <c r="L292" s="935"/>
      <c r="M292" s="777" t="s">
        <v>507</v>
      </c>
      <c r="N292" s="777" t="s">
        <v>606</v>
      </c>
      <c r="O292" s="777">
        <v>1</v>
      </c>
      <c r="P292" s="777" t="s">
        <v>442</v>
      </c>
      <c r="Q292" s="777"/>
      <c r="R292" s="777"/>
      <c r="S292" s="777"/>
      <c r="T292" s="777"/>
      <c r="U292" s="777" t="s">
        <v>527</v>
      </c>
      <c r="V292" s="777"/>
      <c r="W292" s="95"/>
      <c r="X292" s="92">
        <f>I292*K292*O292</f>
        <v>1000000</v>
      </c>
      <c r="Y292" s="80"/>
      <c r="Z292" s="80"/>
      <c r="AD292" s="85"/>
    </row>
    <row r="293" spans="1:30" ht="18" customHeight="1">
      <c r="A293" s="63"/>
      <c r="B293" s="74"/>
      <c r="C293" s="178"/>
      <c r="D293" s="867"/>
      <c r="E293" s="85"/>
      <c r="F293" s="85"/>
      <c r="G293" s="400"/>
      <c r="H293" s="582" t="s">
        <v>645</v>
      </c>
      <c r="I293" s="692">
        <v>2000</v>
      </c>
      <c r="J293" s="779" t="s">
        <v>441</v>
      </c>
      <c r="K293" s="937">
        <v>50</v>
      </c>
      <c r="L293" s="937"/>
      <c r="M293" s="130" t="s">
        <v>525</v>
      </c>
      <c r="N293" s="779" t="s">
        <v>441</v>
      </c>
      <c r="O293" s="779">
        <v>4</v>
      </c>
      <c r="P293" s="130" t="s">
        <v>442</v>
      </c>
      <c r="Q293" s="779"/>
      <c r="R293" s="779"/>
      <c r="S293" s="779"/>
      <c r="T293" s="779"/>
      <c r="U293" s="130" t="s">
        <v>332</v>
      </c>
      <c r="V293" s="779"/>
      <c r="W293" s="80"/>
      <c r="X293" s="118">
        <f>I293*K293*O293</f>
        <v>400000</v>
      </c>
      <c r="Y293" s="80"/>
      <c r="Z293" s="80"/>
      <c r="AD293" s="85"/>
    </row>
    <row r="294" spans="1:30" ht="18" customHeight="1">
      <c r="A294" s="63"/>
      <c r="B294" s="74"/>
      <c r="C294" s="178"/>
      <c r="D294" s="782"/>
      <c r="E294" s="85"/>
      <c r="F294" s="85"/>
      <c r="G294" s="400"/>
      <c r="H294" s="582" t="s">
        <v>646</v>
      </c>
      <c r="I294" s="692">
        <v>6000</v>
      </c>
      <c r="J294" s="779" t="s">
        <v>441</v>
      </c>
      <c r="K294" s="937">
        <v>50</v>
      </c>
      <c r="L294" s="937"/>
      <c r="M294" s="130" t="s">
        <v>525</v>
      </c>
      <c r="N294" s="779" t="s">
        <v>441</v>
      </c>
      <c r="O294" s="779">
        <v>4</v>
      </c>
      <c r="P294" s="130" t="s">
        <v>626</v>
      </c>
      <c r="Q294" s="130"/>
      <c r="R294" s="779"/>
      <c r="S294" s="779"/>
      <c r="T294" s="779"/>
      <c r="U294" s="130" t="s">
        <v>332</v>
      </c>
      <c r="V294" s="779"/>
      <c r="W294" s="80"/>
      <c r="X294" s="118">
        <f>I294*K294*O294</f>
        <v>1200000</v>
      </c>
      <c r="Y294" s="80"/>
      <c r="Z294" s="80"/>
      <c r="AD294" s="85"/>
    </row>
    <row r="295" spans="1:30" ht="18" customHeight="1">
      <c r="A295" s="63"/>
      <c r="B295" s="74"/>
      <c r="C295" s="178"/>
      <c r="D295" s="781"/>
      <c r="E295" s="85"/>
      <c r="F295" s="85"/>
      <c r="G295" s="400"/>
      <c r="H295" s="582" t="s">
        <v>648</v>
      </c>
      <c r="I295" s="692">
        <v>430000</v>
      </c>
      <c r="J295" s="779" t="s">
        <v>441</v>
      </c>
      <c r="K295" s="937">
        <v>1</v>
      </c>
      <c r="L295" s="937"/>
      <c r="M295" s="130" t="s">
        <v>649</v>
      </c>
      <c r="N295" s="779"/>
      <c r="O295" s="779"/>
      <c r="P295" s="130"/>
      <c r="Q295" s="130"/>
      <c r="R295" s="779"/>
      <c r="S295" s="779"/>
      <c r="T295" s="779"/>
      <c r="U295" s="130" t="s">
        <v>332</v>
      </c>
      <c r="V295" s="779"/>
      <c r="W295" s="80"/>
      <c r="X295" s="118">
        <f>I295*K295</f>
        <v>430000</v>
      </c>
      <c r="Y295" s="80"/>
      <c r="Z295" s="80"/>
      <c r="AD295" s="85"/>
    </row>
    <row r="296" spans="1:30" ht="18" customHeight="1">
      <c r="A296" s="695"/>
      <c r="B296" s="696"/>
      <c r="C296" s="872" t="s">
        <v>663</v>
      </c>
      <c r="D296" s="345"/>
      <c r="E296" s="688">
        <f>SUM(E301,E299,E297,E303,E305)</f>
        <v>1346</v>
      </c>
      <c r="F296" s="136">
        <v>1346</v>
      </c>
      <c r="G296" s="406">
        <f>E296-F296</f>
        <v>0</v>
      </c>
      <c r="H296" s="69"/>
      <c r="I296" s="697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69"/>
      <c r="X296" s="121"/>
      <c r="Y296" s="80"/>
      <c r="Z296" s="80"/>
      <c r="AD296" s="85"/>
    </row>
    <row r="297" spans="1:30" ht="18" customHeight="1">
      <c r="A297" s="63"/>
      <c r="B297" s="74"/>
      <c r="C297" s="867"/>
      <c r="D297" s="867" t="s">
        <v>650</v>
      </c>
      <c r="E297" s="85">
        <f>SUM(X297)/1000</f>
        <v>66</v>
      </c>
      <c r="F297" s="75">
        <v>66</v>
      </c>
      <c r="G297" s="400">
        <f>E297-F297</f>
        <v>0</v>
      </c>
      <c r="H297" s="582" t="s">
        <v>651</v>
      </c>
      <c r="I297" s="692">
        <v>66000</v>
      </c>
      <c r="J297" s="779" t="s">
        <v>441</v>
      </c>
      <c r="K297" s="935">
        <v>1</v>
      </c>
      <c r="L297" s="935"/>
      <c r="M297" s="130" t="s">
        <v>442</v>
      </c>
      <c r="N297" s="779"/>
      <c r="O297" s="779"/>
      <c r="P297" s="779"/>
      <c r="Q297" s="779"/>
      <c r="R297" s="779"/>
      <c r="S297" s="779"/>
      <c r="T297" s="779"/>
      <c r="U297" s="779"/>
      <c r="V297" s="779"/>
      <c r="W297" s="80"/>
      <c r="X297" s="118">
        <f>I297*K297</f>
        <v>66000</v>
      </c>
      <c r="Y297" s="80"/>
      <c r="Z297" s="80"/>
      <c r="AD297" s="85"/>
    </row>
    <row r="298" spans="1:30" ht="18" customHeight="1">
      <c r="A298" s="63"/>
      <c r="B298" s="74"/>
      <c r="C298" s="760"/>
      <c r="D298" s="875"/>
      <c r="E298" s="90"/>
      <c r="F298" s="67"/>
      <c r="G298" s="403"/>
      <c r="H298" s="59"/>
      <c r="I298" s="691"/>
      <c r="J298" s="780"/>
      <c r="K298" s="780"/>
      <c r="L298" s="780"/>
      <c r="M298" s="780"/>
      <c r="N298" s="780"/>
      <c r="O298" s="780"/>
      <c r="P298" s="780"/>
      <c r="Q298" s="780"/>
      <c r="R298" s="780"/>
      <c r="S298" s="780"/>
      <c r="T298" s="780"/>
      <c r="U298" s="780"/>
      <c r="V298" s="780"/>
      <c r="W298" s="129"/>
      <c r="X298" s="119"/>
      <c r="Y298" s="80"/>
      <c r="Z298" s="80"/>
      <c r="AD298" s="85"/>
    </row>
    <row r="299" spans="1:30" ht="18" customHeight="1">
      <c r="A299" s="359"/>
      <c r="B299" s="358"/>
      <c r="C299" s="358"/>
      <c r="D299" s="899" t="s">
        <v>561</v>
      </c>
      <c r="E299" s="85">
        <f>SUM(X299)/1000</f>
        <v>50</v>
      </c>
      <c r="F299" s="75">
        <v>50</v>
      </c>
      <c r="G299" s="551">
        <f>E299-F299</f>
        <v>0</v>
      </c>
      <c r="H299" s="79" t="s">
        <v>652</v>
      </c>
      <c r="I299" s="692">
        <v>25000</v>
      </c>
      <c r="J299" s="779" t="s">
        <v>441</v>
      </c>
      <c r="K299" s="937">
        <v>2</v>
      </c>
      <c r="L299" s="937"/>
      <c r="M299" s="779" t="s">
        <v>602</v>
      </c>
      <c r="N299" s="779"/>
      <c r="O299" s="779"/>
      <c r="P299" s="779"/>
      <c r="Q299" s="779"/>
      <c r="R299" s="779"/>
      <c r="S299" s="779"/>
      <c r="T299" s="779"/>
      <c r="U299" s="779" t="s">
        <v>527</v>
      </c>
      <c r="V299" s="779"/>
      <c r="W299" s="80"/>
      <c r="X299" s="118">
        <f aca="true" t="shared" si="38" ref="X299:X304">I299*K299</f>
        <v>50000</v>
      </c>
      <c r="Y299" s="80"/>
      <c r="Z299" s="80"/>
      <c r="AD299" s="85"/>
    </row>
    <row r="300" spans="1:30" ht="18" customHeight="1">
      <c r="A300" s="359"/>
      <c r="B300" s="358"/>
      <c r="C300" s="167"/>
      <c r="D300" s="875"/>
      <c r="E300" s="90"/>
      <c r="F300" s="67"/>
      <c r="G300" s="620"/>
      <c r="H300" s="59"/>
      <c r="I300" s="691"/>
      <c r="J300" s="780"/>
      <c r="K300" s="780"/>
      <c r="L300" s="780"/>
      <c r="M300" s="780"/>
      <c r="N300" s="780"/>
      <c r="O300" s="780"/>
      <c r="P300" s="780"/>
      <c r="Q300" s="780"/>
      <c r="R300" s="780"/>
      <c r="S300" s="780"/>
      <c r="T300" s="780"/>
      <c r="U300" s="780"/>
      <c r="V300" s="780"/>
      <c r="W300" s="129"/>
      <c r="X300" s="119"/>
      <c r="Y300" s="80"/>
      <c r="Z300" s="80"/>
      <c r="AD300" s="85"/>
    </row>
    <row r="301" spans="1:30" ht="18" customHeight="1">
      <c r="A301" s="63"/>
      <c r="B301" s="74"/>
      <c r="C301" s="760"/>
      <c r="D301" s="872" t="s">
        <v>562</v>
      </c>
      <c r="E301" s="83">
        <f>SUM(X301)/1000</f>
        <v>330</v>
      </c>
      <c r="F301" s="91">
        <v>330</v>
      </c>
      <c r="G301" s="400">
        <f>E301-F301</f>
        <v>0</v>
      </c>
      <c r="H301" s="79" t="s">
        <v>653</v>
      </c>
      <c r="I301" s="692">
        <v>30000</v>
      </c>
      <c r="J301" s="779" t="s">
        <v>441</v>
      </c>
      <c r="K301" s="935">
        <v>11</v>
      </c>
      <c r="L301" s="935"/>
      <c r="M301" s="779" t="s">
        <v>231</v>
      </c>
      <c r="N301" s="779"/>
      <c r="O301" s="779"/>
      <c r="P301" s="779"/>
      <c r="Q301" s="779"/>
      <c r="R301" s="779"/>
      <c r="S301" s="779"/>
      <c r="T301" s="779"/>
      <c r="U301" s="779" t="s">
        <v>527</v>
      </c>
      <c r="V301" s="779"/>
      <c r="W301" s="80"/>
      <c r="X301" s="118">
        <f t="shared" si="38"/>
        <v>330000</v>
      </c>
      <c r="Y301" s="80"/>
      <c r="Z301" s="80"/>
      <c r="AD301" s="85"/>
    </row>
    <row r="302" spans="1:30" ht="18" customHeight="1">
      <c r="A302" s="63"/>
      <c r="B302" s="74"/>
      <c r="C302" s="760"/>
      <c r="D302" s="875"/>
      <c r="E302" s="90"/>
      <c r="F302" s="67"/>
      <c r="G302" s="400"/>
      <c r="H302" s="79"/>
      <c r="I302" s="692"/>
      <c r="J302" s="779"/>
      <c r="K302" s="779"/>
      <c r="L302" s="779"/>
      <c r="M302" s="779"/>
      <c r="N302" s="779"/>
      <c r="O302" s="779"/>
      <c r="P302" s="779"/>
      <c r="Q302" s="779"/>
      <c r="R302" s="779"/>
      <c r="S302" s="779"/>
      <c r="T302" s="779"/>
      <c r="U302" s="779"/>
      <c r="V302" s="779"/>
      <c r="W302" s="80"/>
      <c r="X302" s="118"/>
      <c r="Y302" s="80"/>
      <c r="Z302" s="80"/>
      <c r="AD302" s="85"/>
    </row>
    <row r="303" spans="1:30" ht="18" customHeight="1">
      <c r="A303" s="63"/>
      <c r="B303" s="74"/>
      <c r="C303" s="760"/>
      <c r="D303" s="872" t="s">
        <v>563</v>
      </c>
      <c r="E303" s="83">
        <f>SUM(X304,X303)/1000</f>
        <v>200</v>
      </c>
      <c r="F303" s="91">
        <v>200</v>
      </c>
      <c r="G303" s="477">
        <f>E303-F303</f>
        <v>0</v>
      </c>
      <c r="H303" s="98" t="s">
        <v>654</v>
      </c>
      <c r="I303" s="690">
        <v>10000</v>
      </c>
      <c r="J303" s="777" t="s">
        <v>441</v>
      </c>
      <c r="K303" s="935">
        <v>15</v>
      </c>
      <c r="L303" s="935"/>
      <c r="M303" s="777" t="s">
        <v>525</v>
      </c>
      <c r="N303" s="777" t="s">
        <v>606</v>
      </c>
      <c r="O303" s="777">
        <v>1</v>
      </c>
      <c r="P303" s="777" t="s">
        <v>442</v>
      </c>
      <c r="Q303" s="777"/>
      <c r="R303" s="777"/>
      <c r="S303" s="777"/>
      <c r="T303" s="777"/>
      <c r="U303" s="777" t="s">
        <v>527</v>
      </c>
      <c r="V303" s="777"/>
      <c r="W303" s="95"/>
      <c r="X303" s="92">
        <f t="shared" si="38"/>
        <v>150000</v>
      </c>
      <c r="Y303" s="80"/>
      <c r="Z303" s="80"/>
      <c r="AD303" s="85"/>
    </row>
    <row r="304" spans="1:30" ht="18" customHeight="1" thickBot="1">
      <c r="A304" s="100"/>
      <c r="B304" s="152"/>
      <c r="C304" s="240"/>
      <c r="D304" s="873"/>
      <c r="E304" s="138"/>
      <c r="F304" s="153"/>
      <c r="G304" s="718"/>
      <c r="H304" s="139" t="s">
        <v>652</v>
      </c>
      <c r="I304" s="698">
        <v>25000</v>
      </c>
      <c r="J304" s="778" t="s">
        <v>606</v>
      </c>
      <c r="K304" s="944">
        <v>2</v>
      </c>
      <c r="L304" s="944"/>
      <c r="M304" s="778" t="s">
        <v>442</v>
      </c>
      <c r="N304" s="778" t="s">
        <v>606</v>
      </c>
      <c r="O304" s="778"/>
      <c r="P304" s="778"/>
      <c r="Q304" s="778"/>
      <c r="R304" s="778"/>
      <c r="S304" s="778"/>
      <c r="T304" s="778"/>
      <c r="U304" s="778" t="s">
        <v>527</v>
      </c>
      <c r="V304" s="778"/>
      <c r="W304" s="170"/>
      <c r="X304" s="141">
        <f t="shared" si="38"/>
        <v>50000</v>
      </c>
      <c r="Y304" s="80"/>
      <c r="Z304" s="80"/>
      <c r="AD304" s="85"/>
    </row>
    <row r="305" spans="1:30" ht="18" customHeight="1">
      <c r="A305" s="545" t="str">
        <f>A272</f>
        <v>03.사업비</v>
      </c>
      <c r="B305" s="198" t="str">
        <f>B272</f>
        <v>33.사업비</v>
      </c>
      <c r="C305" s="869" t="str">
        <f>C296</f>
        <v>333.교육재활사업비</v>
      </c>
      <c r="D305" s="869" t="s">
        <v>655</v>
      </c>
      <c r="E305" s="247">
        <f>SUM(X306,X305)/1000</f>
        <v>700</v>
      </c>
      <c r="F305" s="448">
        <v>700</v>
      </c>
      <c r="G305" s="421">
        <f>E305-F305</f>
        <v>0</v>
      </c>
      <c r="H305" s="715" t="s">
        <v>656</v>
      </c>
      <c r="I305" s="716">
        <v>90000</v>
      </c>
      <c r="J305" s="785" t="s">
        <v>606</v>
      </c>
      <c r="K305" s="938">
        <v>7</v>
      </c>
      <c r="L305" s="938"/>
      <c r="M305" s="717" t="s">
        <v>525</v>
      </c>
      <c r="N305" s="785"/>
      <c r="O305" s="785"/>
      <c r="P305" s="785"/>
      <c r="Q305" s="785"/>
      <c r="R305" s="785"/>
      <c r="S305" s="785"/>
      <c r="T305" s="785"/>
      <c r="U305" s="785"/>
      <c r="V305" s="785"/>
      <c r="W305" s="543"/>
      <c r="X305" s="199">
        <f>I305*K305</f>
        <v>630000</v>
      </c>
      <c r="Y305" s="80"/>
      <c r="Z305" s="80"/>
      <c r="AD305" s="85"/>
    </row>
    <row r="306" spans="1:30" ht="18" customHeight="1">
      <c r="A306" s="63"/>
      <c r="B306" s="74"/>
      <c r="C306" s="867"/>
      <c r="D306" s="875"/>
      <c r="E306" s="90"/>
      <c r="F306" s="67"/>
      <c r="G306" s="400"/>
      <c r="H306" s="582" t="s">
        <v>657</v>
      </c>
      <c r="I306" s="692">
        <v>2500</v>
      </c>
      <c r="J306" s="779" t="s">
        <v>441</v>
      </c>
      <c r="K306" s="936">
        <v>7</v>
      </c>
      <c r="L306" s="936"/>
      <c r="M306" s="779" t="s">
        <v>525</v>
      </c>
      <c r="N306" s="779" t="s">
        <v>606</v>
      </c>
      <c r="O306" s="779">
        <v>4</v>
      </c>
      <c r="P306" s="779" t="s">
        <v>442</v>
      </c>
      <c r="Q306" s="779"/>
      <c r="R306" s="779"/>
      <c r="S306" s="779"/>
      <c r="T306" s="779"/>
      <c r="U306" s="779" t="s">
        <v>527</v>
      </c>
      <c r="V306" s="779"/>
      <c r="W306" s="80"/>
      <c r="X306" s="118">
        <f>I306*K306*O306</f>
        <v>70000</v>
      </c>
      <c r="Y306" s="80"/>
      <c r="Z306" s="80"/>
      <c r="AD306" s="85"/>
    </row>
    <row r="307" spans="1:30" ht="18" customHeight="1">
      <c r="A307" s="63"/>
      <c r="B307" s="74"/>
      <c r="C307" s="872" t="s">
        <v>658</v>
      </c>
      <c r="D307" s="804"/>
      <c r="E307" s="85">
        <f>E308</f>
        <v>500</v>
      </c>
      <c r="F307" s="75">
        <v>500</v>
      </c>
      <c r="G307" s="406">
        <f>E307-F307</f>
        <v>0</v>
      </c>
      <c r="H307" s="69"/>
      <c r="I307" s="697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69"/>
      <c r="X307" s="121"/>
      <c r="Y307" s="80"/>
      <c r="Z307" s="80"/>
      <c r="AD307" s="136"/>
    </row>
    <row r="308" spans="1:30" ht="18" customHeight="1">
      <c r="A308" s="63"/>
      <c r="B308" s="74"/>
      <c r="C308" s="867"/>
      <c r="D308" s="933" t="s">
        <v>659</v>
      </c>
      <c r="E308" s="83">
        <f>SUM(X308)/1000</f>
        <v>500</v>
      </c>
      <c r="F308" s="91">
        <v>500</v>
      </c>
      <c r="G308" s="400">
        <f>E308-F308</f>
        <v>0</v>
      </c>
      <c r="H308" s="79" t="s">
        <v>524</v>
      </c>
      <c r="I308" s="692">
        <v>125000</v>
      </c>
      <c r="J308" s="779" t="s">
        <v>441</v>
      </c>
      <c r="K308" s="779">
        <v>4</v>
      </c>
      <c r="L308" s="779"/>
      <c r="M308" s="779" t="s">
        <v>442</v>
      </c>
      <c r="N308" s="779"/>
      <c r="O308" s="779"/>
      <c r="P308" s="779"/>
      <c r="Q308" s="779"/>
      <c r="R308" s="779"/>
      <c r="S308" s="779"/>
      <c r="T308" s="779"/>
      <c r="U308" s="779" t="s">
        <v>527</v>
      </c>
      <c r="V308" s="779"/>
      <c r="W308" s="79"/>
      <c r="X308" s="118">
        <f aca="true" t="shared" si="39" ref="X308">I308*K308</f>
        <v>500000</v>
      </c>
      <c r="Y308" s="80"/>
      <c r="Z308" s="80"/>
      <c r="AD308" s="136"/>
    </row>
    <row r="309" spans="1:30" ht="18" customHeight="1">
      <c r="A309" s="63"/>
      <c r="B309" s="74"/>
      <c r="C309" s="176"/>
      <c r="D309" s="934"/>
      <c r="E309" s="90"/>
      <c r="F309" s="67"/>
      <c r="G309" s="760"/>
      <c r="H309" s="79"/>
      <c r="I309" s="692"/>
      <c r="J309" s="779"/>
      <c r="K309" s="779"/>
      <c r="L309" s="779"/>
      <c r="M309" s="779"/>
      <c r="N309" s="779"/>
      <c r="O309" s="779"/>
      <c r="P309" s="779"/>
      <c r="Q309" s="779"/>
      <c r="R309" s="779"/>
      <c r="S309" s="779"/>
      <c r="T309" s="779"/>
      <c r="U309" s="779"/>
      <c r="V309" s="779"/>
      <c r="W309" s="79"/>
      <c r="X309" s="118"/>
      <c r="Y309" s="80"/>
      <c r="Z309" s="80"/>
      <c r="AD309" s="85"/>
    </row>
    <row r="310" spans="1:30" ht="15.75" customHeight="1" thickBot="1">
      <c r="A310" s="479"/>
      <c r="B310" s="784"/>
      <c r="C310" s="899" t="s">
        <v>676</v>
      </c>
      <c r="D310" s="804"/>
      <c r="E310" s="85">
        <f>SUM(E314,E316,E311)</f>
        <v>3000</v>
      </c>
      <c r="F310" s="75">
        <v>3000</v>
      </c>
      <c r="G310" s="406">
        <f>E310-F310</f>
        <v>0</v>
      </c>
      <c r="H310" s="69"/>
      <c r="I310" s="697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69"/>
      <c r="X310" s="121"/>
      <c r="Y310" s="80"/>
      <c r="Z310" s="80"/>
      <c r="AD310" s="138"/>
    </row>
    <row r="311" spans="1:30" ht="15.75" customHeight="1">
      <c r="A311" s="63"/>
      <c r="B311" s="74"/>
      <c r="C311" s="867"/>
      <c r="D311" s="872" t="s">
        <v>660</v>
      </c>
      <c r="E311" s="83">
        <f>SUM(X311:X313)/1000</f>
        <v>500</v>
      </c>
      <c r="F311" s="91">
        <v>500</v>
      </c>
      <c r="G311" s="400">
        <f>E311-F311</f>
        <v>0</v>
      </c>
      <c r="H311" s="79" t="s">
        <v>661</v>
      </c>
      <c r="I311" s="692">
        <v>150000</v>
      </c>
      <c r="J311" s="779" t="s">
        <v>441</v>
      </c>
      <c r="K311" s="942">
        <v>1</v>
      </c>
      <c r="L311" s="942"/>
      <c r="M311" s="779" t="s">
        <v>442</v>
      </c>
      <c r="N311" s="779"/>
      <c r="O311" s="779"/>
      <c r="P311" s="779"/>
      <c r="Q311" s="779"/>
      <c r="R311" s="779"/>
      <c r="S311" s="779"/>
      <c r="T311" s="779"/>
      <c r="U311" s="779" t="s">
        <v>527</v>
      </c>
      <c r="V311" s="779"/>
      <c r="W311" s="80"/>
      <c r="X311" s="118">
        <f aca="true" t="shared" si="40" ref="X311:X314">I311*K311</f>
        <v>150000</v>
      </c>
      <c r="Y311" s="80"/>
      <c r="Z311" s="80"/>
      <c r="AD311" s="237">
        <v>0</v>
      </c>
    </row>
    <row r="312" spans="1:30" ht="15.75" customHeight="1">
      <c r="A312" s="63"/>
      <c r="B312" s="74"/>
      <c r="C312" s="648"/>
      <c r="D312" s="867"/>
      <c r="E312" s="85"/>
      <c r="F312" s="75"/>
      <c r="G312" s="400"/>
      <c r="H312" s="79" t="s">
        <v>662</v>
      </c>
      <c r="I312" s="692">
        <v>10000</v>
      </c>
      <c r="J312" s="779" t="s">
        <v>441</v>
      </c>
      <c r="K312" s="942">
        <v>30</v>
      </c>
      <c r="L312" s="942"/>
      <c r="M312" s="779" t="s">
        <v>525</v>
      </c>
      <c r="N312" s="779" t="s">
        <v>441</v>
      </c>
      <c r="O312" s="942">
        <v>1</v>
      </c>
      <c r="P312" s="942"/>
      <c r="Q312" s="779" t="s">
        <v>442</v>
      </c>
      <c r="R312" s="779"/>
      <c r="S312" s="779"/>
      <c r="T312" s="779"/>
      <c r="U312" s="779" t="s">
        <v>527</v>
      </c>
      <c r="V312" s="779"/>
      <c r="W312" s="80"/>
      <c r="X312" s="118">
        <f>I312*K312*O312</f>
        <v>300000</v>
      </c>
      <c r="Y312" s="80"/>
      <c r="Z312" s="80"/>
      <c r="AD312" s="237"/>
    </row>
    <row r="313" spans="1:30" ht="15.75" customHeight="1">
      <c r="A313" s="63"/>
      <c r="B313" s="74"/>
      <c r="C313" s="178"/>
      <c r="D313" s="781"/>
      <c r="E313" s="90"/>
      <c r="F313" s="67"/>
      <c r="G313" s="400"/>
      <c r="H313" s="79" t="s">
        <v>567</v>
      </c>
      <c r="I313" s="692">
        <v>50000</v>
      </c>
      <c r="J313" s="779" t="s">
        <v>441</v>
      </c>
      <c r="K313" s="942">
        <v>1</v>
      </c>
      <c r="L313" s="942"/>
      <c r="M313" s="779" t="s">
        <v>442</v>
      </c>
      <c r="N313" s="779"/>
      <c r="O313" s="779"/>
      <c r="P313" s="779"/>
      <c r="Q313" s="779"/>
      <c r="R313" s="779"/>
      <c r="S313" s="779"/>
      <c r="T313" s="779"/>
      <c r="U313" s="779" t="s">
        <v>527</v>
      </c>
      <c r="V313" s="779"/>
      <c r="W313" s="79"/>
      <c r="X313" s="118">
        <f t="shared" si="40"/>
        <v>50000</v>
      </c>
      <c r="Y313" s="80"/>
      <c r="Z313" s="80"/>
      <c r="AD313" s="136">
        <v>0</v>
      </c>
    </row>
    <row r="314" spans="1:30" ht="15.75" customHeight="1">
      <c r="A314" s="63"/>
      <c r="B314" s="74"/>
      <c r="C314" s="178"/>
      <c r="D314" s="872" t="s">
        <v>564</v>
      </c>
      <c r="E314" s="83">
        <f>SUM(X314)/1000</f>
        <v>1500</v>
      </c>
      <c r="F314" s="91">
        <v>1500</v>
      </c>
      <c r="G314" s="477">
        <f>E314-F314</f>
        <v>0</v>
      </c>
      <c r="H314" s="392" t="s">
        <v>568</v>
      </c>
      <c r="I314" s="690">
        <v>750000</v>
      </c>
      <c r="J314" s="777" t="s">
        <v>441</v>
      </c>
      <c r="K314" s="939">
        <v>2</v>
      </c>
      <c r="L314" s="939"/>
      <c r="M314" s="777" t="s">
        <v>442</v>
      </c>
      <c r="N314" s="777"/>
      <c r="O314" s="777"/>
      <c r="P314" s="777"/>
      <c r="Q314" s="777"/>
      <c r="R314" s="777"/>
      <c r="S314" s="777"/>
      <c r="T314" s="777"/>
      <c r="U314" s="777" t="s">
        <v>527</v>
      </c>
      <c r="V314" s="777"/>
      <c r="W314" s="98"/>
      <c r="X314" s="92">
        <f t="shared" si="40"/>
        <v>1500000</v>
      </c>
      <c r="Y314" s="80"/>
      <c r="Z314" s="80"/>
      <c r="AD314" s="85"/>
    </row>
    <row r="315" spans="1:30" ht="15.75" customHeight="1">
      <c r="A315" s="63"/>
      <c r="B315" s="74"/>
      <c r="C315" s="178"/>
      <c r="D315" s="875"/>
      <c r="E315" s="90"/>
      <c r="F315" s="67"/>
      <c r="G315" s="620"/>
      <c r="H315" s="59"/>
      <c r="I315" s="691"/>
      <c r="J315" s="780"/>
      <c r="K315" s="943"/>
      <c r="L315" s="943"/>
      <c r="M315" s="780"/>
      <c r="N315" s="780"/>
      <c r="O315" s="780"/>
      <c r="P315" s="780"/>
      <c r="Q315" s="780"/>
      <c r="R315" s="780"/>
      <c r="S315" s="780"/>
      <c r="T315" s="780"/>
      <c r="U315" s="780"/>
      <c r="V315" s="780"/>
      <c r="W315" s="59"/>
      <c r="X315" s="119"/>
      <c r="Y315" s="80"/>
      <c r="Z315" s="80"/>
      <c r="AD315" s="85">
        <v>0</v>
      </c>
    </row>
    <row r="316" spans="1:30" ht="15.75" customHeight="1">
      <c r="A316" s="63"/>
      <c r="B316" s="74"/>
      <c r="C316" s="178"/>
      <c r="D316" s="872" t="s">
        <v>565</v>
      </c>
      <c r="E316" s="83">
        <f>SUM(X316)/1000</f>
        <v>1000</v>
      </c>
      <c r="F316" s="91">
        <v>1000</v>
      </c>
      <c r="G316" s="400">
        <f>E316-F316</f>
        <v>0</v>
      </c>
      <c r="H316" s="392" t="s">
        <v>675</v>
      </c>
      <c r="I316" s="690">
        <v>250000</v>
      </c>
      <c r="J316" s="777" t="s">
        <v>441</v>
      </c>
      <c r="K316" s="939">
        <v>4</v>
      </c>
      <c r="L316" s="939"/>
      <c r="M316" s="777" t="s">
        <v>442</v>
      </c>
      <c r="N316" s="777"/>
      <c r="O316" s="777"/>
      <c r="P316" s="777"/>
      <c r="Q316" s="777"/>
      <c r="R316" s="777"/>
      <c r="S316" s="777"/>
      <c r="T316" s="777"/>
      <c r="U316" s="777" t="s">
        <v>527</v>
      </c>
      <c r="V316" s="777"/>
      <c r="W316" s="98"/>
      <c r="X316" s="92">
        <f aca="true" t="shared" si="41" ref="X316">I316*K316</f>
        <v>1000000</v>
      </c>
      <c r="Y316" s="80"/>
      <c r="Z316" s="80"/>
      <c r="AD316" s="85"/>
    </row>
    <row r="317" spans="1:30" ht="8.25" customHeight="1" thickBot="1">
      <c r="A317" s="100"/>
      <c r="B317" s="152"/>
      <c r="C317" s="152"/>
      <c r="D317" s="873"/>
      <c r="E317" s="90"/>
      <c r="F317" s="67"/>
      <c r="G317" s="403"/>
      <c r="H317" s="394"/>
      <c r="I317" s="698"/>
      <c r="J317" s="778"/>
      <c r="K317" s="940"/>
      <c r="L317" s="940"/>
      <c r="M317" s="778"/>
      <c r="N317" s="778"/>
      <c r="O317" s="778"/>
      <c r="P317" s="778"/>
      <c r="Q317" s="778"/>
      <c r="R317" s="778"/>
      <c r="S317" s="778"/>
      <c r="T317" s="778"/>
      <c r="U317" s="778"/>
      <c r="V317" s="778"/>
      <c r="W317" s="139"/>
      <c r="X317" s="141"/>
      <c r="Y317" s="80"/>
      <c r="Z317" s="80"/>
      <c r="AD317" s="85"/>
    </row>
    <row r="318" spans="1:30" ht="17.25" customHeight="1" hidden="1" thickBot="1">
      <c r="A318" s="900" t="s">
        <v>234</v>
      </c>
      <c r="B318" s="261"/>
      <c r="C318" s="261"/>
      <c r="D318" s="347"/>
      <c r="E318" s="235"/>
      <c r="F318" s="104"/>
      <c r="G318" s="171"/>
      <c r="H318" s="803"/>
      <c r="I318" s="677"/>
      <c r="J318" s="786"/>
      <c r="K318" s="786"/>
      <c r="L318" s="786"/>
      <c r="M318" s="786"/>
      <c r="N318" s="786"/>
      <c r="O318" s="786"/>
      <c r="P318" s="786"/>
      <c r="Q318" s="786"/>
      <c r="R318" s="786"/>
      <c r="S318" s="786"/>
      <c r="T318" s="786"/>
      <c r="U318" s="754"/>
      <c r="V318" s="754"/>
      <c r="W318" s="59"/>
      <c r="X318" s="119"/>
      <c r="Y318" s="80"/>
      <c r="Z318" s="80"/>
      <c r="AD318" s="136">
        <v>0</v>
      </c>
    </row>
    <row r="319" spans="1:30" ht="17.25" customHeight="1" hidden="1" thickBot="1">
      <c r="A319" s="901"/>
      <c r="B319" s="902" t="s">
        <v>235</v>
      </c>
      <c r="C319" s="257"/>
      <c r="D319" s="348"/>
      <c r="E319" s="136"/>
      <c r="F319" s="136"/>
      <c r="G319" s="64"/>
      <c r="H319" s="578"/>
      <c r="I319" s="263"/>
      <c r="J319" s="579"/>
      <c r="K319" s="579"/>
      <c r="L319" s="579"/>
      <c r="M319" s="579"/>
      <c r="N319" s="579"/>
      <c r="O319" s="579"/>
      <c r="P319" s="579"/>
      <c r="Q319" s="579"/>
      <c r="R319" s="579"/>
      <c r="S319" s="579"/>
      <c r="T319" s="579"/>
      <c r="U319" s="159"/>
      <c r="V319" s="159"/>
      <c r="W319" s="69"/>
      <c r="X319" s="121"/>
      <c r="Y319" s="80"/>
      <c r="Z319" s="80"/>
      <c r="AD319" s="83"/>
    </row>
    <row r="320" spans="1:30" ht="17.25" customHeight="1" hidden="1" thickBot="1">
      <c r="A320" s="259"/>
      <c r="B320" s="903"/>
      <c r="C320" s="902" t="s">
        <v>236</v>
      </c>
      <c r="D320" s="348"/>
      <c r="E320" s="136"/>
      <c r="F320" s="136"/>
      <c r="G320" s="64"/>
      <c r="H320" s="578"/>
      <c r="I320" s="263"/>
      <c r="J320" s="579"/>
      <c r="K320" s="579"/>
      <c r="L320" s="579"/>
      <c r="M320" s="579"/>
      <c r="N320" s="579"/>
      <c r="O320" s="579"/>
      <c r="P320" s="579"/>
      <c r="Q320" s="579"/>
      <c r="R320" s="579"/>
      <c r="S320" s="579"/>
      <c r="T320" s="579"/>
      <c r="U320" s="159"/>
      <c r="V320" s="159"/>
      <c r="W320" s="69"/>
      <c r="X320" s="121"/>
      <c r="Y320" s="80"/>
      <c r="Z320" s="80"/>
      <c r="AD320" s="138"/>
    </row>
    <row r="321" spans="1:30" ht="17.25" customHeight="1" hidden="1" thickBot="1">
      <c r="A321" s="259"/>
      <c r="B321" s="260"/>
      <c r="C321" s="903"/>
      <c r="D321" s="902" t="s">
        <v>237</v>
      </c>
      <c r="E321" s="85"/>
      <c r="F321" s="85"/>
      <c r="G321" s="784"/>
      <c r="H321" s="763" t="s">
        <v>331</v>
      </c>
      <c r="I321" s="165"/>
      <c r="J321" s="787"/>
      <c r="K321" s="787"/>
      <c r="L321" s="787"/>
      <c r="M321" s="787"/>
      <c r="N321" s="787"/>
      <c r="O321" s="787"/>
      <c r="P321" s="787"/>
      <c r="Q321" s="787"/>
      <c r="R321" s="787"/>
      <c r="S321" s="787"/>
      <c r="T321" s="787"/>
      <c r="U321" s="762"/>
      <c r="V321" s="762"/>
      <c r="W321" s="79"/>
      <c r="X321" s="118"/>
      <c r="Y321" s="80"/>
      <c r="Z321" s="80"/>
      <c r="AD321" s="238">
        <v>69520</v>
      </c>
    </row>
    <row r="322" spans="1:30" ht="17.25" customHeight="1" hidden="1" thickBot="1">
      <c r="A322" s="262"/>
      <c r="B322" s="799"/>
      <c r="C322" s="799"/>
      <c r="D322" s="963"/>
      <c r="E322" s="138"/>
      <c r="F322" s="138"/>
      <c r="G322" s="137"/>
      <c r="H322" s="596"/>
      <c r="I322" s="256"/>
      <c r="J322" s="793"/>
      <c r="K322" s="793"/>
      <c r="L322" s="793"/>
      <c r="M322" s="793"/>
      <c r="N322" s="793"/>
      <c r="O322" s="793"/>
      <c r="P322" s="793"/>
      <c r="Q322" s="793"/>
      <c r="R322" s="793"/>
      <c r="S322" s="793"/>
      <c r="T322" s="793"/>
      <c r="U322" s="255"/>
      <c r="V322" s="255"/>
      <c r="W322" s="139"/>
      <c r="X322" s="141"/>
      <c r="Y322" s="80"/>
      <c r="Z322" s="80"/>
      <c r="AD322" s="136">
        <v>69520</v>
      </c>
    </row>
    <row r="323" spans="1:30" ht="17.25" customHeight="1" hidden="1" thickBot="1">
      <c r="A323" s="871" t="s">
        <v>148</v>
      </c>
      <c r="B323" s="245"/>
      <c r="C323" s="258"/>
      <c r="D323" s="349"/>
      <c r="E323" s="237">
        <f>SUM(E324)</f>
        <v>0</v>
      </c>
      <c r="F323" s="357">
        <v>0</v>
      </c>
      <c r="G323" s="57"/>
      <c r="H323" s="59"/>
      <c r="I323" s="59"/>
      <c r="J323" s="754"/>
      <c r="K323" s="754"/>
      <c r="L323" s="754"/>
      <c r="M323" s="754"/>
      <c r="N323" s="754"/>
      <c r="O323" s="754"/>
      <c r="P323" s="754"/>
      <c r="Q323" s="754"/>
      <c r="R323" s="754"/>
      <c r="S323" s="754"/>
      <c r="T323" s="754"/>
      <c r="U323" s="754"/>
      <c r="V323" s="59"/>
      <c r="W323" s="754"/>
      <c r="X323" s="119"/>
      <c r="Y323" s="80"/>
      <c r="Z323" s="80"/>
      <c r="AD323" s="85">
        <v>69520</v>
      </c>
    </row>
    <row r="324" spans="1:30" ht="17.25" customHeight="1" hidden="1" thickBot="1">
      <c r="A324" s="871"/>
      <c r="B324" s="959" t="s">
        <v>149</v>
      </c>
      <c r="C324" s="248"/>
      <c r="D324" s="350"/>
      <c r="E324" s="136">
        <f>SUM(E325,E328)</f>
        <v>0</v>
      </c>
      <c r="F324" s="77">
        <v>0</v>
      </c>
      <c r="G324" s="76"/>
      <c r="H324" s="69"/>
      <c r="I324" s="6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69"/>
      <c r="W324" s="159"/>
      <c r="X324" s="121"/>
      <c r="Y324" s="80"/>
      <c r="Z324" s="80"/>
      <c r="AD324" s="83">
        <v>69520</v>
      </c>
    </row>
    <row r="325" spans="1:30" ht="17.25" customHeight="1" hidden="1" thickBot="1">
      <c r="A325" s="115"/>
      <c r="B325" s="955"/>
      <c r="C325" s="960" t="s">
        <v>264</v>
      </c>
      <c r="D325" s="336"/>
      <c r="E325" s="85">
        <f>SUM(E326)</f>
        <v>0</v>
      </c>
      <c r="F325" s="75">
        <v>0</v>
      </c>
      <c r="G325" s="74"/>
      <c r="H325" s="79"/>
      <c r="I325" s="79"/>
      <c r="J325" s="762"/>
      <c r="K325" s="762"/>
      <c r="L325" s="762"/>
      <c r="M325" s="762"/>
      <c r="N325" s="762"/>
      <c r="O325" s="762"/>
      <c r="P325" s="762"/>
      <c r="Q325" s="762"/>
      <c r="R325" s="762"/>
      <c r="S325" s="762"/>
      <c r="T325" s="762"/>
      <c r="U325" s="762"/>
      <c r="V325" s="79"/>
      <c r="W325" s="762"/>
      <c r="X325" s="118"/>
      <c r="Y325" s="80"/>
      <c r="Z325" s="80"/>
      <c r="AD325" s="138"/>
    </row>
    <row r="326" spans="1:30" ht="17.25" customHeight="1" hidden="1" thickBot="1">
      <c r="A326" s="63"/>
      <c r="B326" s="507"/>
      <c r="C326" s="961"/>
      <c r="D326" s="933" t="s">
        <v>262</v>
      </c>
      <c r="E326" s="83"/>
      <c r="F326" s="83"/>
      <c r="G326" s="749"/>
      <c r="H326" s="98" t="s">
        <v>330</v>
      </c>
      <c r="I326" s="98"/>
      <c r="J326" s="802"/>
      <c r="K326" s="802"/>
      <c r="L326" s="802"/>
      <c r="M326" s="802"/>
      <c r="N326" s="802"/>
      <c r="O326" s="802"/>
      <c r="P326" s="802"/>
      <c r="Q326" s="802"/>
      <c r="R326" s="802"/>
      <c r="S326" s="802"/>
      <c r="T326" s="802"/>
      <c r="U326" s="802"/>
      <c r="V326" s="98"/>
      <c r="W326" s="802"/>
      <c r="X326" s="92"/>
      <c r="Y326" s="80"/>
      <c r="Z326" s="80"/>
      <c r="AD326" s="235">
        <v>1000000</v>
      </c>
    </row>
    <row r="327" spans="1:30" ht="17.25" customHeight="1" hidden="1" thickBot="1">
      <c r="A327" s="100"/>
      <c r="B327" s="194"/>
      <c r="C327" s="249"/>
      <c r="D327" s="954"/>
      <c r="E327" s="138"/>
      <c r="F327" s="138"/>
      <c r="G327" s="752"/>
      <c r="H327" s="139"/>
      <c r="I327" s="139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139"/>
      <c r="W327" s="255"/>
      <c r="X327" s="141"/>
      <c r="Y327" s="80"/>
      <c r="Z327" s="80"/>
      <c r="AD327" s="83">
        <v>1000000</v>
      </c>
    </row>
    <row r="328" spans="1:30" ht="17.25" customHeight="1" hidden="1" thickBot="1">
      <c r="A328" s="983" t="str">
        <f>A323</f>
        <v>06.부채   상환금</v>
      </c>
      <c r="B328" s="982" t="str">
        <f>B324</f>
        <v>61.부채     상환금</v>
      </c>
      <c r="C328" s="962" t="s">
        <v>265</v>
      </c>
      <c r="D328" s="478"/>
      <c r="E328" s="195">
        <f>SUM(E329)</f>
        <v>0</v>
      </c>
      <c r="F328" s="195">
        <v>0</v>
      </c>
      <c r="G328" s="421">
        <f>E328-F328</f>
        <v>0</v>
      </c>
      <c r="H328" s="155"/>
      <c r="I328" s="155"/>
      <c r="J328" s="657"/>
      <c r="K328" s="657"/>
      <c r="L328" s="657"/>
      <c r="M328" s="657"/>
      <c r="N328" s="657"/>
      <c r="O328" s="657"/>
      <c r="P328" s="657"/>
      <c r="Q328" s="657"/>
      <c r="R328" s="657"/>
      <c r="S328" s="657"/>
      <c r="T328" s="657"/>
      <c r="U328" s="657"/>
      <c r="V328" s="155"/>
      <c r="W328" s="657"/>
      <c r="X328" s="199"/>
      <c r="Y328" s="80"/>
      <c r="Z328" s="80"/>
      <c r="AD328" s="136">
        <v>1000000</v>
      </c>
    </row>
    <row r="329" spans="1:30" ht="17.25" customHeight="1" hidden="1" thickBot="1">
      <c r="A329" s="984"/>
      <c r="B329" s="953"/>
      <c r="C329" s="961"/>
      <c r="D329" s="933" t="s">
        <v>263</v>
      </c>
      <c r="E329" s="83">
        <v>0</v>
      </c>
      <c r="F329" s="91">
        <v>0</v>
      </c>
      <c r="G329" s="398">
        <f>E329-F329</f>
        <v>0</v>
      </c>
      <c r="H329" s="98" t="s">
        <v>329</v>
      </c>
      <c r="I329" s="98"/>
      <c r="J329" s="802"/>
      <c r="K329" s="802"/>
      <c r="L329" s="802"/>
      <c r="M329" s="802"/>
      <c r="N329" s="802"/>
      <c r="O329" s="802"/>
      <c r="P329" s="802"/>
      <c r="Q329" s="802"/>
      <c r="R329" s="802"/>
      <c r="S329" s="802"/>
      <c r="T329" s="802"/>
      <c r="U329" s="802"/>
      <c r="V329" s="98"/>
      <c r="W329" s="802"/>
      <c r="X329" s="92"/>
      <c r="Y329" s="80"/>
      <c r="Z329" s="80"/>
      <c r="AD329" s="83">
        <v>1000000</v>
      </c>
    </row>
    <row r="330" spans="1:30" ht="17.25" customHeight="1" hidden="1" thickBot="1">
      <c r="A330" s="100"/>
      <c r="B330" s="194"/>
      <c r="C330" s="249"/>
      <c r="D330" s="954"/>
      <c r="E330" s="138"/>
      <c r="F330" s="153"/>
      <c r="G330" s="240"/>
      <c r="H330" s="139"/>
      <c r="I330" s="139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139"/>
      <c r="W330" s="255"/>
      <c r="X330" s="141"/>
      <c r="Y330" s="80"/>
      <c r="Z330" s="80"/>
      <c r="AD330" s="138"/>
    </row>
    <row r="331" spans="1:26" ht="17.25" customHeight="1" hidden="1" thickBot="1">
      <c r="A331" s="101" t="s">
        <v>136</v>
      </c>
      <c r="B331" s="243"/>
      <c r="C331" s="250"/>
      <c r="D331" s="351"/>
      <c r="E331" s="238">
        <f>SUM(E332)</f>
        <v>0</v>
      </c>
      <c r="F331" s="164">
        <v>0</v>
      </c>
      <c r="G331" s="405">
        <f>E331-F331</f>
        <v>0</v>
      </c>
      <c r="H331" s="106"/>
      <c r="I331" s="10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06"/>
      <c r="W331" s="196"/>
      <c r="X331" s="120"/>
      <c r="Y331" s="80"/>
      <c r="Z331" s="80"/>
    </row>
    <row r="332" spans="1:26" ht="17.25" customHeight="1" hidden="1" thickBot="1">
      <c r="A332" s="115"/>
      <c r="B332" s="772" t="s">
        <v>17</v>
      </c>
      <c r="C332" s="248"/>
      <c r="D332" s="350"/>
      <c r="E332" s="136">
        <f>SUM(E333)</f>
        <v>0</v>
      </c>
      <c r="F332" s="77">
        <v>0</v>
      </c>
      <c r="G332" s="400">
        <f>E332-F332</f>
        <v>0</v>
      </c>
      <c r="H332" s="69"/>
      <c r="I332" s="6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69"/>
      <c r="W332" s="159"/>
      <c r="X332" s="121"/>
      <c r="Y332" s="80"/>
      <c r="Z332" s="80"/>
    </row>
    <row r="333" spans="1:26" ht="17.25" customHeight="1" hidden="1" thickBot="1">
      <c r="A333" s="115"/>
      <c r="B333" s="507"/>
      <c r="C333" s="251" t="s">
        <v>18</v>
      </c>
      <c r="D333" s="336"/>
      <c r="E333" s="85">
        <f>SUM(E334)</f>
        <v>0</v>
      </c>
      <c r="F333" s="75">
        <v>0</v>
      </c>
      <c r="G333" s="406">
        <f>E333-F333</f>
        <v>0</v>
      </c>
      <c r="H333" s="79"/>
      <c r="I333" s="79"/>
      <c r="J333" s="762"/>
      <c r="K333" s="762"/>
      <c r="L333" s="762"/>
      <c r="M333" s="762"/>
      <c r="N333" s="762"/>
      <c r="O333" s="762"/>
      <c r="P333" s="159"/>
      <c r="Q333" s="159"/>
      <c r="R333" s="762"/>
      <c r="S333" s="762"/>
      <c r="T333" s="762"/>
      <c r="U333" s="762"/>
      <c r="V333" s="79"/>
      <c r="W333" s="762"/>
      <c r="X333" s="118"/>
      <c r="Y333" s="80"/>
      <c r="Z333" s="80"/>
    </row>
    <row r="334" spans="1:26" ht="17.25" customHeight="1" hidden="1" thickBot="1">
      <c r="A334" s="115"/>
      <c r="B334" s="507"/>
      <c r="C334" s="252"/>
      <c r="D334" s="340" t="s">
        <v>137</v>
      </c>
      <c r="E334" s="83">
        <f>V334/1000</f>
        <v>0</v>
      </c>
      <c r="F334" s="91">
        <v>0</v>
      </c>
      <c r="G334" s="399">
        <f>E334-F334</f>
        <v>0</v>
      </c>
      <c r="H334" s="951" t="s">
        <v>328</v>
      </c>
      <c r="I334" s="932"/>
      <c r="J334" s="932"/>
      <c r="K334" s="932"/>
      <c r="L334" s="932"/>
      <c r="M334" s="932"/>
      <c r="N334" s="932"/>
      <c r="O334" s="932"/>
      <c r="P334" s="592"/>
      <c r="Q334" s="592"/>
      <c r="R334" s="462"/>
      <c r="S334" s="462"/>
      <c r="T334" s="462"/>
      <c r="U334" s="802"/>
      <c r="V334" s="976"/>
      <c r="W334" s="976"/>
      <c r="X334" s="977"/>
      <c r="Y334" s="762"/>
      <c r="Z334" s="762"/>
    </row>
    <row r="335" spans="1:26" ht="17.25" customHeight="1" hidden="1" thickBot="1">
      <c r="A335" s="193"/>
      <c r="B335" s="194"/>
      <c r="C335" s="249"/>
      <c r="D335" s="344"/>
      <c r="E335" s="138"/>
      <c r="F335" s="153"/>
      <c r="G335" s="152"/>
      <c r="H335" s="139"/>
      <c r="I335" s="139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139"/>
      <c r="W335" s="255"/>
      <c r="X335" s="141"/>
      <c r="Y335" s="80"/>
      <c r="Z335" s="80"/>
    </row>
    <row r="336" spans="1:26" ht="17.25" customHeight="1" hidden="1" thickBot="1">
      <c r="A336" s="870" t="s">
        <v>341</v>
      </c>
      <c r="B336" s="485"/>
      <c r="C336" s="486"/>
      <c r="D336" s="487"/>
      <c r="E336" s="238">
        <f>SUM(E337)</f>
        <v>0</v>
      </c>
      <c r="F336" s="164">
        <v>0</v>
      </c>
      <c r="G336" s="405">
        <f>E336-F336</f>
        <v>0</v>
      </c>
      <c r="H336" s="106"/>
      <c r="I336" s="106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06"/>
      <c r="W336" s="196"/>
      <c r="X336" s="120"/>
      <c r="Y336" s="80"/>
      <c r="Z336" s="80"/>
    </row>
    <row r="337" spans="1:26" ht="17.25" customHeight="1" hidden="1" thickBot="1">
      <c r="A337" s="871"/>
      <c r="B337" s="872" t="s">
        <v>342</v>
      </c>
      <c r="C337" s="488"/>
      <c r="D337" s="346"/>
      <c r="E337" s="136">
        <f>SUM(E338)</f>
        <v>0</v>
      </c>
      <c r="F337" s="77">
        <v>0</v>
      </c>
      <c r="G337" s="400">
        <f>E337-F337</f>
        <v>0</v>
      </c>
      <c r="H337" s="69"/>
      <c r="I337" s="6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69"/>
      <c r="W337" s="159"/>
      <c r="X337" s="121"/>
      <c r="Y337" s="80"/>
      <c r="Z337" s="80"/>
    </row>
    <row r="338" spans="1:26" ht="17.25" customHeight="1" hidden="1" thickBot="1">
      <c r="A338" s="183"/>
      <c r="B338" s="867"/>
      <c r="C338" s="960" t="s">
        <v>343</v>
      </c>
      <c r="D338" s="804"/>
      <c r="E338" s="85">
        <f>SUM(E339)</f>
        <v>0</v>
      </c>
      <c r="F338" s="75">
        <v>0</v>
      </c>
      <c r="G338" s="406">
        <f>E338-F338</f>
        <v>0</v>
      </c>
      <c r="H338" s="79"/>
      <c r="I338" s="79"/>
      <c r="J338" s="762"/>
      <c r="K338" s="762"/>
      <c r="L338" s="762"/>
      <c r="M338" s="762"/>
      <c r="N338" s="762"/>
      <c r="O338" s="762"/>
      <c r="P338" s="159"/>
      <c r="Q338" s="159"/>
      <c r="R338" s="762"/>
      <c r="S338" s="762"/>
      <c r="T338" s="762"/>
      <c r="U338" s="762"/>
      <c r="V338" s="79"/>
      <c r="W338" s="762"/>
      <c r="X338" s="118"/>
      <c r="Y338" s="80"/>
      <c r="Z338" s="80"/>
    </row>
    <row r="339" spans="1:26" ht="17.25" customHeight="1" hidden="1" thickBot="1">
      <c r="A339" s="183"/>
      <c r="B339" s="184"/>
      <c r="C339" s="961"/>
      <c r="D339" s="872" t="s">
        <v>344</v>
      </c>
      <c r="E339" s="83">
        <f>V339/1000</f>
        <v>0</v>
      </c>
      <c r="F339" s="91">
        <v>0</v>
      </c>
      <c r="G339" s="399">
        <f>E339-F339</f>
        <v>0</v>
      </c>
      <c r="H339" s="951" t="s">
        <v>536</v>
      </c>
      <c r="I339" s="932"/>
      <c r="J339" s="932"/>
      <c r="K339" s="932"/>
      <c r="L339" s="932"/>
      <c r="M339" s="932"/>
      <c r="N339" s="932"/>
      <c r="O339" s="932"/>
      <c r="P339" s="592"/>
      <c r="Q339" s="592"/>
      <c r="R339" s="462"/>
      <c r="S339" s="462"/>
      <c r="T339" s="462"/>
      <c r="U339" s="802"/>
      <c r="V339" s="976"/>
      <c r="W339" s="976"/>
      <c r="X339" s="977"/>
      <c r="Y339" s="762"/>
      <c r="Z339" s="762"/>
    </row>
    <row r="340" spans="1:26" ht="17.25" customHeight="1" hidden="1" thickBot="1">
      <c r="A340" s="489"/>
      <c r="B340" s="490"/>
      <c r="C340" s="491"/>
      <c r="D340" s="873"/>
      <c r="E340" s="138"/>
      <c r="F340" s="153"/>
      <c r="G340" s="152"/>
      <c r="H340" s="139"/>
      <c r="I340" s="139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139"/>
      <c r="W340" s="255"/>
      <c r="X340" s="141"/>
      <c r="Y340" s="80"/>
      <c r="Z340" s="80"/>
    </row>
    <row r="341" spans="1:26" ht="17.25" customHeight="1">
      <c r="A341" s="101" t="s">
        <v>340</v>
      </c>
      <c r="B341" s="243"/>
      <c r="C341" s="250"/>
      <c r="D341" s="351"/>
      <c r="E341" s="235">
        <f>SUM(E342)</f>
        <v>5374</v>
      </c>
      <c r="F341" s="104">
        <v>1000</v>
      </c>
      <c r="G341" s="405">
        <f>E341-F341</f>
        <v>4374</v>
      </c>
      <c r="H341" s="106"/>
      <c r="I341" s="10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06"/>
      <c r="W341" s="196"/>
      <c r="X341" s="120"/>
      <c r="Y341" s="80"/>
      <c r="Z341" s="80"/>
    </row>
    <row r="342" spans="1:26" ht="17.25" customHeight="1">
      <c r="A342" s="63"/>
      <c r="B342" s="772" t="s">
        <v>139</v>
      </c>
      <c r="C342" s="251"/>
      <c r="D342" s="343"/>
      <c r="E342" s="83">
        <f>SUM(E343:E343)</f>
        <v>5374</v>
      </c>
      <c r="F342" s="91">
        <v>1000</v>
      </c>
      <c r="G342" s="406">
        <f>E342-F342</f>
        <v>4374</v>
      </c>
      <c r="H342" s="98"/>
      <c r="I342" s="98"/>
      <c r="J342" s="802"/>
      <c r="K342" s="802"/>
      <c r="L342" s="802"/>
      <c r="M342" s="802"/>
      <c r="N342" s="802"/>
      <c r="O342" s="802"/>
      <c r="P342" s="802"/>
      <c r="Q342" s="802"/>
      <c r="R342" s="802"/>
      <c r="S342" s="802"/>
      <c r="T342" s="802"/>
      <c r="U342" s="802"/>
      <c r="V342" s="98"/>
      <c r="W342" s="802"/>
      <c r="X342" s="92"/>
      <c r="Y342" s="80"/>
      <c r="Z342" s="80"/>
    </row>
    <row r="343" spans="1:26" ht="17.25" customHeight="1">
      <c r="A343" s="142"/>
      <c r="B343" s="244"/>
      <c r="C343" s="251" t="s">
        <v>140</v>
      </c>
      <c r="D343" s="350"/>
      <c r="E343" s="136">
        <f>E344</f>
        <v>5374</v>
      </c>
      <c r="F343" s="77">
        <v>1000</v>
      </c>
      <c r="G343" s="400">
        <f>E343-F343</f>
        <v>4374</v>
      </c>
      <c r="H343" s="69"/>
      <c r="I343" s="6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69"/>
      <c r="W343" s="159"/>
      <c r="X343" s="121"/>
      <c r="Y343" s="80"/>
      <c r="Z343" s="80"/>
    </row>
    <row r="344" spans="1:27" ht="17.25" customHeight="1">
      <c r="A344" s="142"/>
      <c r="B344" s="244"/>
      <c r="C344" s="252"/>
      <c r="D344" s="343" t="s">
        <v>141</v>
      </c>
      <c r="E344" s="83">
        <f>Y344/1000</f>
        <v>5374</v>
      </c>
      <c r="F344" s="91">
        <v>1000</v>
      </c>
      <c r="G344" s="399">
        <f>E344-F344</f>
        <v>4374</v>
      </c>
      <c r="H344" s="98" t="s">
        <v>143</v>
      </c>
      <c r="I344" s="98" t="s">
        <v>732</v>
      </c>
      <c r="J344" s="802"/>
      <c r="K344" s="802"/>
      <c r="L344" s="802"/>
      <c r="M344" s="802"/>
      <c r="N344" s="802"/>
      <c r="O344" s="592"/>
      <c r="P344" s="592"/>
      <c r="Q344" s="462"/>
      <c r="R344" s="462"/>
      <c r="S344" s="462"/>
      <c r="T344" s="462"/>
      <c r="U344" s="802"/>
      <c r="V344" s="167"/>
      <c r="W344" s="167"/>
      <c r="X344" s="820">
        <f>5374000-1000000</f>
        <v>4374000</v>
      </c>
      <c r="Y344" s="976">
        <v>5374000</v>
      </c>
      <c r="Z344" s="976"/>
      <c r="AA344" s="977"/>
    </row>
    <row r="345" spans="1:26" ht="17.25" customHeight="1" thickBot="1">
      <c r="A345" s="151"/>
      <c r="B345" s="483"/>
      <c r="C345" s="249"/>
      <c r="D345" s="352"/>
      <c r="E345" s="138"/>
      <c r="F345" s="153"/>
      <c r="G345" s="152"/>
      <c r="H345" s="139"/>
      <c r="I345" s="139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139"/>
      <c r="W345" s="255"/>
      <c r="X345" s="141"/>
      <c r="Y345" s="80"/>
      <c r="Z345" s="80"/>
    </row>
    <row r="346" spans="1:26" ht="39" customHeight="1">
      <c r="A346" s="957"/>
      <c r="B346" s="116"/>
      <c r="C346" s="116"/>
      <c r="D346" s="116"/>
      <c r="E346" s="116"/>
      <c r="F346" s="116"/>
      <c r="G346" s="116"/>
      <c r="H346" s="143"/>
      <c r="I346" s="79"/>
      <c r="J346" s="769"/>
      <c r="K346" s="96"/>
      <c r="L346" s="96"/>
      <c r="M346" s="769"/>
      <c r="N346" s="769"/>
      <c r="O346" s="769"/>
      <c r="P346" s="753"/>
      <c r="Q346" s="753"/>
      <c r="R346" s="769"/>
      <c r="S346" s="769"/>
      <c r="T346" s="769"/>
      <c r="U346" s="769"/>
      <c r="V346" s="779"/>
      <c r="W346" s="769"/>
      <c r="X346" s="118"/>
      <c r="Y346" s="80"/>
      <c r="Z346" s="80"/>
    </row>
    <row r="347" spans="1:26" ht="19.5" customHeight="1">
      <c r="A347" s="957"/>
      <c r="B347" s="480"/>
      <c r="C347" s="480"/>
      <c r="D347" s="480"/>
      <c r="E347" s="480"/>
      <c r="F347" s="480"/>
      <c r="G347" s="480"/>
      <c r="H347" s="48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48"/>
      <c r="Y347" s="1"/>
      <c r="Z347" s="1"/>
    </row>
    <row r="348" spans="1:26" ht="34.5" customHeight="1">
      <c r="A348" s="957"/>
      <c r="B348" s="480"/>
      <c r="C348" s="480"/>
      <c r="D348" s="480"/>
      <c r="E348" s="480"/>
      <c r="F348" s="480"/>
      <c r="G348" s="480"/>
      <c r="H348" s="48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48"/>
      <c r="Y348" s="1"/>
      <c r="Z348" s="1"/>
    </row>
    <row r="349" spans="1:26" ht="50.25" customHeight="1" thickBot="1">
      <c r="A349" s="958"/>
      <c r="B349" s="549"/>
      <c r="C349" s="549"/>
      <c r="D349" s="549"/>
      <c r="E349" s="549"/>
      <c r="F349" s="549"/>
      <c r="G349" s="549"/>
      <c r="H349" s="550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149"/>
      <c r="Y349" s="1"/>
      <c r="Z349" s="1"/>
    </row>
    <row r="350" spans="1:26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</sheetData>
  <mergeCells count="429">
    <mergeCell ref="H51:H52"/>
    <mergeCell ref="K111:L111"/>
    <mergeCell ref="H212:I212"/>
    <mergeCell ref="D83:D84"/>
    <mergeCell ref="D85:D86"/>
    <mergeCell ref="D99:D100"/>
    <mergeCell ref="D176:D177"/>
    <mergeCell ref="D173:D174"/>
    <mergeCell ref="C217:C218"/>
    <mergeCell ref="D218:D219"/>
    <mergeCell ref="C211:C212"/>
    <mergeCell ref="C214:C215"/>
    <mergeCell ref="K200:L200"/>
    <mergeCell ref="K148:L148"/>
    <mergeCell ref="K88:L88"/>
    <mergeCell ref="K141:L141"/>
    <mergeCell ref="H63:H64"/>
    <mergeCell ref="H65:H66"/>
    <mergeCell ref="H75:H76"/>
    <mergeCell ref="H77:H78"/>
    <mergeCell ref="H215:I215"/>
    <mergeCell ref="H53:H54"/>
    <mergeCell ref="H55:H56"/>
    <mergeCell ref="H58:H59"/>
    <mergeCell ref="Q40:R40"/>
    <mergeCell ref="Q25:R25"/>
    <mergeCell ref="Q26:R26"/>
    <mergeCell ref="Q27:R27"/>
    <mergeCell ref="Q11:R11"/>
    <mergeCell ref="Q12:R12"/>
    <mergeCell ref="Q13:R13"/>
    <mergeCell ref="Q14:R14"/>
    <mergeCell ref="Q15:R15"/>
    <mergeCell ref="Q16:R16"/>
    <mergeCell ref="Q17:R17"/>
    <mergeCell ref="Q18:R18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8:R38"/>
    <mergeCell ref="Q39:R39"/>
    <mergeCell ref="O312:P312"/>
    <mergeCell ref="K313:L313"/>
    <mergeCell ref="L222:M222"/>
    <mergeCell ref="A175:A176"/>
    <mergeCell ref="C173:C174"/>
    <mergeCell ref="B328:B329"/>
    <mergeCell ref="A328:A329"/>
    <mergeCell ref="K107:L107"/>
    <mergeCell ref="P107:Q107"/>
    <mergeCell ref="D192:D193"/>
    <mergeCell ref="A152:A153"/>
    <mergeCell ref="C157:C158"/>
    <mergeCell ref="D221:D222"/>
    <mergeCell ref="D237:D238"/>
    <mergeCell ref="D225:D226"/>
    <mergeCell ref="D215:D216"/>
    <mergeCell ref="M143:N143"/>
    <mergeCell ref="K144:L144"/>
    <mergeCell ref="M144:N144"/>
    <mergeCell ref="K130:L130"/>
    <mergeCell ref="K147:L147"/>
    <mergeCell ref="K118:L118"/>
    <mergeCell ref="P118:Q118"/>
    <mergeCell ref="K119:L119"/>
    <mergeCell ref="O185:P185"/>
    <mergeCell ref="K180:L180"/>
    <mergeCell ref="K179:L179"/>
    <mergeCell ref="K181:L181"/>
    <mergeCell ref="K177:L177"/>
    <mergeCell ref="Q185:R185"/>
    <mergeCell ref="Y344:AA344"/>
    <mergeCell ref="H339:O339"/>
    <mergeCell ref="V339:X339"/>
    <mergeCell ref="N222:O222"/>
    <mergeCell ref="K232:L232"/>
    <mergeCell ref="V334:X334"/>
    <mergeCell ref="H334:O334"/>
    <mergeCell ref="H231:I231"/>
    <mergeCell ref="H237:I237"/>
    <mergeCell ref="H234:I234"/>
    <mergeCell ref="Q232:R232"/>
    <mergeCell ref="K226:L226"/>
    <mergeCell ref="K228:L228"/>
    <mergeCell ref="K225:L225"/>
    <mergeCell ref="K258:L258"/>
    <mergeCell ref="K259:L259"/>
    <mergeCell ref="K280:L280"/>
    <mergeCell ref="K281:L281"/>
    <mergeCell ref="Q187:R187"/>
    <mergeCell ref="M206:N206"/>
    <mergeCell ref="M207:N207"/>
    <mergeCell ref="K202:L202"/>
    <mergeCell ref="K206:L206"/>
    <mergeCell ref="K207:L207"/>
    <mergeCell ref="O187:P187"/>
    <mergeCell ref="O186:P186"/>
    <mergeCell ref="K186:L186"/>
    <mergeCell ref="Q186:R186"/>
    <mergeCell ref="K195:L195"/>
    <mergeCell ref="K196:L196"/>
    <mergeCell ref="K197:L197"/>
    <mergeCell ref="K198:L198"/>
    <mergeCell ref="K199:L199"/>
    <mergeCell ref="Q219:R219"/>
    <mergeCell ref="J222:K222"/>
    <mergeCell ref="H218:S218"/>
    <mergeCell ref="K219:L219"/>
    <mergeCell ref="R110:S110"/>
    <mergeCell ref="K114:L114"/>
    <mergeCell ref="K138:L138"/>
    <mergeCell ref="P119:Q119"/>
    <mergeCell ref="P120:Q120"/>
    <mergeCell ref="K165:L165"/>
    <mergeCell ref="R115:T115"/>
    <mergeCell ref="M174:O174"/>
    <mergeCell ref="K176:L176"/>
    <mergeCell ref="M172:N172"/>
    <mergeCell ref="K139:L139"/>
    <mergeCell ref="K120:L120"/>
    <mergeCell ref="K140:L140"/>
    <mergeCell ref="K128:L128"/>
    <mergeCell ref="K129:L129"/>
    <mergeCell ref="K167:L167"/>
    <mergeCell ref="P221:X221"/>
    <mergeCell ref="M209:N209"/>
    <mergeCell ref="K174:L174"/>
    <mergeCell ref="K192:L192"/>
    <mergeCell ref="P104:Q104"/>
    <mergeCell ref="K166:L166"/>
    <mergeCell ref="K164:L164"/>
    <mergeCell ref="K162:L162"/>
    <mergeCell ref="K145:L145"/>
    <mergeCell ref="M145:N145"/>
    <mergeCell ref="K124:L124"/>
    <mergeCell ref="K125:L125"/>
    <mergeCell ref="K126:L126"/>
    <mergeCell ref="K127:L127"/>
    <mergeCell ref="M114:N114"/>
    <mergeCell ref="K115:L115"/>
    <mergeCell ref="M115:N115"/>
    <mergeCell ref="K104:L104"/>
    <mergeCell ref="M113:N113"/>
    <mergeCell ref="K113:L113"/>
    <mergeCell ref="M111:N111"/>
    <mergeCell ref="K136:L136"/>
    <mergeCell ref="K131:L131"/>
    <mergeCell ref="K133:L133"/>
    <mergeCell ref="K110:L110"/>
    <mergeCell ref="P110:Q110"/>
    <mergeCell ref="J43:N43"/>
    <mergeCell ref="D42:D43"/>
    <mergeCell ref="H30:H31"/>
    <mergeCell ref="H32:H33"/>
    <mergeCell ref="H34:H35"/>
    <mergeCell ref="H36:H37"/>
    <mergeCell ref="M36:N36"/>
    <mergeCell ref="M38:N38"/>
    <mergeCell ref="H38:H39"/>
    <mergeCell ref="H16:H17"/>
    <mergeCell ref="M16:N16"/>
    <mergeCell ref="M18:N18"/>
    <mergeCell ref="M23:N23"/>
    <mergeCell ref="H24:H25"/>
    <mergeCell ref="M24:N24"/>
    <mergeCell ref="M37:N37"/>
    <mergeCell ref="M31:N31"/>
    <mergeCell ref="M32:N32"/>
    <mergeCell ref="M20:N20"/>
    <mergeCell ref="M19:N19"/>
    <mergeCell ref="M34:N34"/>
    <mergeCell ref="M15:N15"/>
    <mergeCell ref="R83:S83"/>
    <mergeCell ref="P105:Q105"/>
    <mergeCell ref="R105:S105"/>
    <mergeCell ref="P106:Q106"/>
    <mergeCell ref="R106:S106"/>
    <mergeCell ref="R82:S82"/>
    <mergeCell ref="P82:Q82"/>
    <mergeCell ref="P83:Q83"/>
    <mergeCell ref="M88:N88"/>
    <mergeCell ref="M33:N33"/>
    <mergeCell ref="M39:N39"/>
    <mergeCell ref="M29:N29"/>
    <mergeCell ref="M30:N30"/>
    <mergeCell ref="M22:N22"/>
    <mergeCell ref="M28:N28"/>
    <mergeCell ref="M21:N21"/>
    <mergeCell ref="M35:N35"/>
    <mergeCell ref="Q37:R37"/>
    <mergeCell ref="M17:N17"/>
    <mergeCell ref="M40:N40"/>
    <mergeCell ref="H45:T45"/>
    <mergeCell ref="P43:Q43"/>
    <mergeCell ref="H73:H74"/>
    <mergeCell ref="A1:X1"/>
    <mergeCell ref="A2:C2"/>
    <mergeCell ref="H3:X3"/>
    <mergeCell ref="A4:D4"/>
    <mergeCell ref="H7:I7"/>
    <mergeCell ref="H12:H13"/>
    <mergeCell ref="M27:N27"/>
    <mergeCell ref="M25:N25"/>
    <mergeCell ref="M11:N11"/>
    <mergeCell ref="H26:H27"/>
    <mergeCell ref="M26:N26"/>
    <mergeCell ref="H14:H15"/>
    <mergeCell ref="H19:H20"/>
    <mergeCell ref="M13:N13"/>
    <mergeCell ref="M12:N12"/>
    <mergeCell ref="M14:N14"/>
    <mergeCell ref="I10:V10"/>
    <mergeCell ref="H21:H22"/>
    <mergeCell ref="Q19:R19"/>
    <mergeCell ref="Q20:R20"/>
    <mergeCell ref="Q21:R21"/>
    <mergeCell ref="Q22:R22"/>
    <mergeCell ref="Q23:R23"/>
    <mergeCell ref="Q24:R24"/>
    <mergeCell ref="H60:H61"/>
    <mergeCell ref="D81:D82"/>
    <mergeCell ref="D87:D88"/>
    <mergeCell ref="K172:L172"/>
    <mergeCell ref="D93:D94"/>
    <mergeCell ref="D95:D96"/>
    <mergeCell ref="K82:L82"/>
    <mergeCell ref="K83:L83"/>
    <mergeCell ref="D158:D163"/>
    <mergeCell ref="D97:D98"/>
    <mergeCell ref="D155:D156"/>
    <mergeCell ref="H69:H70"/>
    <mergeCell ref="H71:H72"/>
    <mergeCell ref="K168:L168"/>
    <mergeCell ref="C92:C93"/>
    <mergeCell ref="K178:L178"/>
    <mergeCell ref="K203:L203"/>
    <mergeCell ref="K142:L142"/>
    <mergeCell ref="K143:L143"/>
    <mergeCell ref="H173:M173"/>
    <mergeCell ref="K189:L189"/>
    <mergeCell ref="A346:A349"/>
    <mergeCell ref="A323:A324"/>
    <mergeCell ref="B324:B325"/>
    <mergeCell ref="C325:C326"/>
    <mergeCell ref="D326:D327"/>
    <mergeCell ref="A318:A319"/>
    <mergeCell ref="B319:B320"/>
    <mergeCell ref="C320:C321"/>
    <mergeCell ref="D329:D330"/>
    <mergeCell ref="C328:C329"/>
    <mergeCell ref="C338:C339"/>
    <mergeCell ref="B337:B338"/>
    <mergeCell ref="A336:A337"/>
    <mergeCell ref="D339:D340"/>
    <mergeCell ref="D321:D322"/>
    <mergeCell ref="C253:C255"/>
    <mergeCell ref="D185:D186"/>
    <mergeCell ref="B108:B109"/>
    <mergeCell ref="C109:C110"/>
    <mergeCell ref="C194:C195"/>
    <mergeCell ref="C121:C122"/>
    <mergeCell ref="C137:C138"/>
    <mergeCell ref="D147:D148"/>
    <mergeCell ref="K134:L134"/>
    <mergeCell ref="K204:L204"/>
    <mergeCell ref="H150:I150"/>
    <mergeCell ref="K135:L135"/>
    <mergeCell ref="D113:D114"/>
    <mergeCell ref="D122:D131"/>
    <mergeCell ref="D150:D151"/>
    <mergeCell ref="D110:D111"/>
    <mergeCell ref="D138:D139"/>
    <mergeCell ref="C132:C133"/>
    <mergeCell ref="C149:C150"/>
    <mergeCell ref="D133:D134"/>
    <mergeCell ref="C175:C176"/>
    <mergeCell ref="K187:L187"/>
    <mergeCell ref="K188:L188"/>
    <mergeCell ref="K169:L169"/>
    <mergeCell ref="K170:L170"/>
    <mergeCell ref="K171:L171"/>
    <mergeCell ref="K247:L247"/>
    <mergeCell ref="K248:L248"/>
    <mergeCell ref="C103:C104"/>
    <mergeCell ref="D104:D107"/>
    <mergeCell ref="D101:D102"/>
    <mergeCell ref="K254:L254"/>
    <mergeCell ref="K255:L255"/>
    <mergeCell ref="D195:D196"/>
    <mergeCell ref="D212:D213"/>
    <mergeCell ref="H221:M221"/>
    <mergeCell ref="D249:D250"/>
    <mergeCell ref="K249:L249"/>
    <mergeCell ref="K250:L250"/>
    <mergeCell ref="K251:L251"/>
    <mergeCell ref="K252:L252"/>
    <mergeCell ref="D254:D255"/>
    <mergeCell ref="M192:N192"/>
    <mergeCell ref="K209:L209"/>
    <mergeCell ref="R104:S104"/>
    <mergeCell ref="R118:S118"/>
    <mergeCell ref="R119:S119"/>
    <mergeCell ref="R120:S120"/>
    <mergeCell ref="K185:L185"/>
    <mergeCell ref="R107:S107"/>
    <mergeCell ref="D256:D257"/>
    <mergeCell ref="K256:L256"/>
    <mergeCell ref="C224:C225"/>
    <mergeCell ref="C240:C241"/>
    <mergeCell ref="D241:D242"/>
    <mergeCell ref="K241:L241"/>
    <mergeCell ref="K242:L242"/>
    <mergeCell ref="D243:D246"/>
    <mergeCell ref="K243:L243"/>
    <mergeCell ref="K244:L244"/>
    <mergeCell ref="K245:L245"/>
    <mergeCell ref="K246:L246"/>
    <mergeCell ref="C236:C237"/>
    <mergeCell ref="C227:C228"/>
    <mergeCell ref="D234:D235"/>
    <mergeCell ref="D228:D229"/>
    <mergeCell ref="C233:C234"/>
    <mergeCell ref="D247:D248"/>
    <mergeCell ref="D260:D261"/>
    <mergeCell ref="D262:D263"/>
    <mergeCell ref="K262:L262"/>
    <mergeCell ref="K277:L277"/>
    <mergeCell ref="K278:L278"/>
    <mergeCell ref="K279:L279"/>
    <mergeCell ref="D264:D265"/>
    <mergeCell ref="K264:L264"/>
    <mergeCell ref="K265:L265"/>
    <mergeCell ref="D266:D267"/>
    <mergeCell ref="K266:L266"/>
    <mergeCell ref="K267:L267"/>
    <mergeCell ref="K268:L268"/>
    <mergeCell ref="K269:L269"/>
    <mergeCell ref="K270:L270"/>
    <mergeCell ref="K271:L271"/>
    <mergeCell ref="D314:D315"/>
    <mergeCell ref="K314:L314"/>
    <mergeCell ref="K315:L315"/>
    <mergeCell ref="D301:D302"/>
    <mergeCell ref="K301:L301"/>
    <mergeCell ref="D303:D304"/>
    <mergeCell ref="K303:L303"/>
    <mergeCell ref="K304:L304"/>
    <mergeCell ref="D305:D306"/>
    <mergeCell ref="K305:L305"/>
    <mergeCell ref="K306:L306"/>
    <mergeCell ref="D308:D309"/>
    <mergeCell ref="D316:D317"/>
    <mergeCell ref="K316:L316"/>
    <mergeCell ref="K317:L317"/>
    <mergeCell ref="D268:D269"/>
    <mergeCell ref="D272:D273"/>
    <mergeCell ref="D292:D293"/>
    <mergeCell ref="D190:D191"/>
    <mergeCell ref="C310:C311"/>
    <mergeCell ref="D311:D312"/>
    <mergeCell ref="K311:L311"/>
    <mergeCell ref="K312:L312"/>
    <mergeCell ref="C307:C308"/>
    <mergeCell ref="K292:L292"/>
    <mergeCell ref="K293:L293"/>
    <mergeCell ref="K294:L294"/>
    <mergeCell ref="K295:L295"/>
    <mergeCell ref="C296:C297"/>
    <mergeCell ref="D297:D298"/>
    <mergeCell ref="K297:L297"/>
    <mergeCell ref="D299:D300"/>
    <mergeCell ref="K299:L299"/>
    <mergeCell ref="D282:D283"/>
    <mergeCell ref="K282:L282"/>
    <mergeCell ref="K283:L283"/>
    <mergeCell ref="C305:C306"/>
    <mergeCell ref="C89:C91"/>
    <mergeCell ref="C272:C274"/>
    <mergeCell ref="D277:D279"/>
    <mergeCell ref="D288:D290"/>
    <mergeCell ref="K105:L105"/>
    <mergeCell ref="K106:L106"/>
    <mergeCell ref="K260:L260"/>
    <mergeCell ref="C243:C244"/>
    <mergeCell ref="D284:D285"/>
    <mergeCell ref="K284:L284"/>
    <mergeCell ref="K285:L285"/>
    <mergeCell ref="D286:D287"/>
    <mergeCell ref="K286:L286"/>
    <mergeCell ref="K288:L288"/>
    <mergeCell ref="K289:L289"/>
    <mergeCell ref="K290:L290"/>
    <mergeCell ref="K291:L291"/>
    <mergeCell ref="K272:L272"/>
    <mergeCell ref="K273:L273"/>
    <mergeCell ref="K274:L274"/>
    <mergeCell ref="D275:D276"/>
    <mergeCell ref="K275:L275"/>
    <mergeCell ref="D258:D259"/>
    <mergeCell ref="C47:C48"/>
    <mergeCell ref="I122:T122"/>
    <mergeCell ref="I190:R190"/>
    <mergeCell ref="I191:R191"/>
    <mergeCell ref="D48:D80"/>
    <mergeCell ref="C41:C42"/>
    <mergeCell ref="K159:L159"/>
    <mergeCell ref="K160:L160"/>
    <mergeCell ref="K161:L161"/>
    <mergeCell ref="K163:L163"/>
    <mergeCell ref="H42:V42"/>
    <mergeCell ref="I90:T90"/>
    <mergeCell ref="I93:T93"/>
    <mergeCell ref="I95:T95"/>
    <mergeCell ref="I97:T97"/>
    <mergeCell ref="I99:T99"/>
    <mergeCell ref="I101:T101"/>
    <mergeCell ref="K86:L86"/>
    <mergeCell ref="P86:Q86"/>
    <mergeCell ref="R86:S86"/>
    <mergeCell ref="I81:S81"/>
    <mergeCell ref="I85:T85"/>
    <mergeCell ref="I87:S87"/>
    <mergeCell ref="D90:D91"/>
  </mergeCells>
  <printOptions/>
  <pageMargins left="0.4330708661417323" right="0.35433070866141736" top="0.4330708661417323" bottom="0.3937007874015748" header="0.4724409448818898" footer="0.2755905511811024"/>
  <pageSetup horizontalDpi="600" verticalDpi="600" orientation="landscape" paperSize="9" scale="80" r:id="rId1"/>
  <headerFooter alignWithMargins="0">
    <oddFooter>&amp;C-&amp;P+9-</oddFooter>
  </headerFooter>
  <rowBreaks count="1" manualBreakCount="1">
    <brk id="1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85" zoomScaleSheetLayoutView="85" workbookViewId="0" topLeftCell="A1">
      <selection activeCell="F33" sqref="F33"/>
    </sheetView>
  </sheetViews>
  <sheetFormatPr defaultColWidth="8.88671875" defaultRowHeight="13.5"/>
  <cols>
    <col min="1" max="1" width="6.77734375" style="0" customWidth="1"/>
    <col min="2" max="2" width="11.77734375" style="0" customWidth="1"/>
    <col min="3" max="3" width="10.6640625" style="0" customWidth="1"/>
    <col min="4" max="4" width="11.4453125" style="0" hidden="1" customWidth="1"/>
    <col min="5" max="5" width="15.5546875" style="0" customWidth="1"/>
    <col min="6" max="6" width="14.21484375" style="0" customWidth="1"/>
    <col min="7" max="7" width="14.21484375" style="0" hidden="1" customWidth="1"/>
    <col min="8" max="8" width="14.77734375" style="0" customWidth="1"/>
    <col min="9" max="9" width="16.4453125" style="0" customWidth="1"/>
    <col min="10" max="10" width="16.4453125" style="0" hidden="1" customWidth="1"/>
    <col min="11" max="11" width="15.3359375" style="0" customWidth="1"/>
    <col min="12" max="12" width="16.88671875" style="0" customWidth="1"/>
    <col min="13" max="13" width="8.88671875" style="0" hidden="1" customWidth="1"/>
    <col min="14" max="14" width="19.21484375" style="0" hidden="1" customWidth="1"/>
    <col min="16" max="16" width="12.5546875" style="0" customWidth="1"/>
  </cols>
  <sheetData>
    <row r="1" spans="1:12" ht="14.25">
      <c r="A1" s="996"/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</row>
    <row r="2" spans="1:12" ht="33.75" customHeight="1">
      <c r="A2" s="997" t="s">
        <v>438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</row>
    <row r="3" spans="1:12" ht="8.25" customHeight="1">
      <c r="A3" s="998"/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</row>
    <row r="4" spans="1:12" ht="15" thickBot="1">
      <c r="A4" s="999" t="s">
        <v>219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</row>
    <row r="5" spans="1:12" ht="24" customHeight="1">
      <c r="A5" s="1002" t="s">
        <v>220</v>
      </c>
      <c r="B5" s="1004" t="s">
        <v>287</v>
      </c>
      <c r="C5" s="994" t="s">
        <v>228</v>
      </c>
      <c r="D5" s="994" t="s">
        <v>223</v>
      </c>
      <c r="E5" s="994" t="s">
        <v>288</v>
      </c>
      <c r="F5" s="994" t="s">
        <v>224</v>
      </c>
      <c r="G5" s="994"/>
      <c r="H5" s="994"/>
      <c r="I5" s="994" t="s">
        <v>225</v>
      </c>
      <c r="J5" s="513"/>
      <c r="K5" s="994" t="s">
        <v>226</v>
      </c>
      <c r="L5" s="1000" t="s">
        <v>289</v>
      </c>
    </row>
    <row r="6" spans="1:12" ht="24" customHeight="1">
      <c r="A6" s="1003"/>
      <c r="B6" s="1005"/>
      <c r="C6" s="995"/>
      <c r="D6" s="995"/>
      <c r="E6" s="995"/>
      <c r="F6" s="465" t="s">
        <v>221</v>
      </c>
      <c r="G6" s="514"/>
      <c r="H6" s="465" t="s">
        <v>222</v>
      </c>
      <c r="I6" s="995"/>
      <c r="J6" s="514"/>
      <c r="K6" s="995"/>
      <c r="L6" s="1001"/>
    </row>
    <row r="7" spans="1:17" ht="19.5" customHeight="1">
      <c r="A7" s="572">
        <f>총인건비!A3</f>
        <v>1</v>
      </c>
      <c r="B7" s="518" t="str">
        <f>총인건비!B3</f>
        <v>원장</v>
      </c>
      <c r="C7" s="572" t="str">
        <f>총인건비!C3</f>
        <v>박세혁</v>
      </c>
      <c r="D7" s="569">
        <f>총인건비!G3</f>
        <v>26856000</v>
      </c>
      <c r="E7" s="569">
        <f>D7+D8</f>
        <v>36120000</v>
      </c>
      <c r="F7" s="569"/>
      <c r="G7" s="569">
        <f>총인건비!P3</f>
        <v>13746920</v>
      </c>
      <c r="H7" s="569">
        <f>G7+G8</f>
        <v>17214000</v>
      </c>
      <c r="I7" s="569">
        <f>E7+H7</f>
        <v>53334000</v>
      </c>
      <c r="J7" s="569">
        <f>총인건비!AD3</f>
        <v>5329560</v>
      </c>
      <c r="K7" s="570">
        <f>J7</f>
        <v>5329560</v>
      </c>
      <c r="L7" s="569">
        <f>I7-K7</f>
        <v>48004440</v>
      </c>
      <c r="N7" s="354">
        <v>36238980</v>
      </c>
      <c r="O7" s="253"/>
      <c r="P7" s="253">
        <v>4849920</v>
      </c>
      <c r="Q7" s="988" t="s">
        <v>241</v>
      </c>
    </row>
    <row r="8" spans="1:17" ht="19.5" customHeight="1" hidden="1">
      <c r="A8" s="572">
        <f>총인건비!A4</f>
        <v>0</v>
      </c>
      <c r="B8" s="518">
        <f>총인건비!B4</f>
        <v>0</v>
      </c>
      <c r="C8" s="572">
        <f>총인건비!C4</f>
        <v>0</v>
      </c>
      <c r="D8" s="569">
        <f>총인건비!G4</f>
        <v>9264000</v>
      </c>
      <c r="E8" s="569"/>
      <c r="F8" s="569"/>
      <c r="G8" s="569">
        <f>총인건비!P4</f>
        <v>3467080</v>
      </c>
      <c r="H8" s="569"/>
      <c r="I8" s="569">
        <f aca="true" t="shared" si="0" ref="I8:I43">E8+H8</f>
        <v>0</v>
      </c>
      <c r="J8" s="569">
        <f>총인건비!AD4</f>
        <v>0</v>
      </c>
      <c r="K8" s="570">
        <f aca="true" t="shared" si="1" ref="K8:K36">P8</f>
        <v>0</v>
      </c>
      <c r="L8" s="569">
        <f aca="true" t="shared" si="2" ref="L8:L43">I8-K8</f>
        <v>0</v>
      </c>
      <c r="N8" s="354">
        <v>35394690</v>
      </c>
      <c r="O8" s="253"/>
      <c r="P8" s="253">
        <v>0</v>
      </c>
      <c r="Q8" s="989"/>
    </row>
    <row r="9" spans="1:17" ht="19.5" customHeight="1">
      <c r="A9" s="572">
        <f>총인건비!A5</f>
        <v>2</v>
      </c>
      <c r="B9" s="518" t="s">
        <v>453</v>
      </c>
      <c r="C9" s="572" t="str">
        <f>총인건비!C5</f>
        <v>김춘희</v>
      </c>
      <c r="D9" s="569">
        <f>총인건비!G5</f>
        <v>9228000</v>
      </c>
      <c r="E9" s="569">
        <f aca="true" t="shared" si="3" ref="E9:E20">D9+D10</f>
        <v>37470000</v>
      </c>
      <c r="F9" s="569"/>
      <c r="G9" s="569">
        <f>총인건비!P5</f>
        <v>5123630</v>
      </c>
      <c r="H9" s="569">
        <f aca="true" t="shared" si="4" ref="H9:H20">G9+G10</f>
        <v>16980710</v>
      </c>
      <c r="I9" s="569">
        <f t="shared" si="0"/>
        <v>54450710</v>
      </c>
      <c r="J9" s="569">
        <f>총인건비!AD5</f>
        <v>5430960</v>
      </c>
      <c r="K9" s="570">
        <f>J9</f>
        <v>5430960</v>
      </c>
      <c r="L9" s="569">
        <f t="shared" si="2"/>
        <v>49019750</v>
      </c>
      <c r="N9" s="354">
        <v>29105790</v>
      </c>
      <c r="O9" s="253"/>
      <c r="P9" s="253">
        <v>5039520</v>
      </c>
      <c r="Q9" s="988" t="s">
        <v>29</v>
      </c>
    </row>
    <row r="10" spans="1:17" ht="19.5" customHeight="1" hidden="1">
      <c r="A10" s="572">
        <f>총인건비!A6</f>
        <v>0</v>
      </c>
      <c r="B10" s="518">
        <f>총인건비!B6</f>
        <v>0</v>
      </c>
      <c r="C10" s="572">
        <f>총인건비!C6</f>
        <v>0</v>
      </c>
      <c r="D10" s="569">
        <f>총인건비!G6</f>
        <v>28242000</v>
      </c>
      <c r="E10" s="569"/>
      <c r="F10" s="569"/>
      <c r="G10" s="569">
        <f>총인건비!P6</f>
        <v>11857080</v>
      </c>
      <c r="H10" s="569"/>
      <c r="I10" s="569">
        <f t="shared" si="0"/>
        <v>0</v>
      </c>
      <c r="J10" s="569">
        <f>총인건비!AD6</f>
        <v>0</v>
      </c>
      <c r="K10" s="570">
        <f t="shared" si="1"/>
        <v>0</v>
      </c>
      <c r="L10" s="569">
        <f t="shared" si="2"/>
        <v>0</v>
      </c>
      <c r="N10" s="354">
        <v>28843980</v>
      </c>
      <c r="O10" s="253"/>
      <c r="P10" s="253">
        <v>0</v>
      </c>
      <c r="Q10" s="989"/>
    </row>
    <row r="11" spans="1:17" ht="19.5" customHeight="1">
      <c r="A11" s="572">
        <f>총인건비!A7</f>
        <v>3</v>
      </c>
      <c r="B11" s="518" t="str">
        <f>총인건비!B7</f>
        <v>사회재활교사</v>
      </c>
      <c r="C11" s="572" t="str">
        <f>총인건비!C7</f>
        <v>전상현</v>
      </c>
      <c r="D11" s="569">
        <f>총인건비!G7</f>
        <v>20340000</v>
      </c>
      <c r="E11" s="569">
        <f t="shared" si="3"/>
        <v>27396000</v>
      </c>
      <c r="F11" s="569"/>
      <c r="G11" s="569">
        <f>총인건비!P7</f>
        <v>9621330</v>
      </c>
      <c r="H11" s="569">
        <f t="shared" si="4"/>
        <v>11993770</v>
      </c>
      <c r="I11" s="569">
        <f t="shared" si="0"/>
        <v>39389770</v>
      </c>
      <c r="J11" s="569">
        <f>총인건비!AD7</f>
        <v>4061640</v>
      </c>
      <c r="K11" s="570">
        <f>J11</f>
        <v>4061640</v>
      </c>
      <c r="L11" s="569">
        <f t="shared" si="2"/>
        <v>35328130</v>
      </c>
      <c r="N11" s="354">
        <v>27698730</v>
      </c>
      <c r="O11" s="253"/>
      <c r="P11" s="253">
        <v>0</v>
      </c>
      <c r="Q11" s="990" t="s">
        <v>242</v>
      </c>
    </row>
    <row r="12" spans="1:17" ht="19.5" customHeight="1" hidden="1">
      <c r="A12" s="572">
        <f>총인건비!A8</f>
        <v>0</v>
      </c>
      <c r="B12" s="518">
        <f>총인건비!B8</f>
        <v>0</v>
      </c>
      <c r="C12" s="572">
        <f>총인건비!C8</f>
        <v>0</v>
      </c>
      <c r="D12" s="569">
        <f>총인건비!G8</f>
        <v>7056000</v>
      </c>
      <c r="E12" s="569"/>
      <c r="F12" s="569"/>
      <c r="G12" s="569">
        <f>총인건비!P8</f>
        <v>2372440</v>
      </c>
      <c r="H12" s="569"/>
      <c r="I12" s="569">
        <f t="shared" si="0"/>
        <v>0</v>
      </c>
      <c r="J12" s="569">
        <f>총인건비!AD8</f>
        <v>0</v>
      </c>
      <c r="K12" s="571"/>
      <c r="L12" s="569">
        <f t="shared" si="2"/>
        <v>0</v>
      </c>
      <c r="N12" s="354">
        <v>26088620</v>
      </c>
      <c r="O12" s="253"/>
      <c r="P12" s="253">
        <v>3716880</v>
      </c>
      <c r="Q12" s="991"/>
    </row>
    <row r="13" spans="1:17" ht="19.5" customHeight="1">
      <c r="A13" s="572">
        <f>총인건비!A9</f>
        <v>4</v>
      </c>
      <c r="B13" s="518" t="str">
        <f>총인건비!B9</f>
        <v>생활지도원</v>
      </c>
      <c r="C13" s="572" t="str">
        <f>총인건비!C9</f>
        <v>이원영</v>
      </c>
      <c r="D13" s="569">
        <f>총인건비!G9</f>
        <v>10224000</v>
      </c>
      <c r="E13" s="569">
        <f t="shared" si="3"/>
        <v>20754000</v>
      </c>
      <c r="F13" s="569"/>
      <c r="G13" s="569">
        <f>총인건비!P9</f>
        <v>6138180</v>
      </c>
      <c r="H13" s="569">
        <f t="shared" si="4"/>
        <v>12427750</v>
      </c>
      <c r="I13" s="569">
        <f t="shared" si="0"/>
        <v>33181750</v>
      </c>
      <c r="J13" s="569">
        <f>총인건비!AD9</f>
        <v>3497160</v>
      </c>
      <c r="K13" s="570">
        <f>J13</f>
        <v>3497160</v>
      </c>
      <c r="L13" s="569">
        <f t="shared" si="2"/>
        <v>29684590</v>
      </c>
      <c r="N13" s="354">
        <v>24816840</v>
      </c>
      <c r="O13" s="253"/>
      <c r="P13" s="253">
        <v>0</v>
      </c>
      <c r="Q13" s="986" t="s">
        <v>270</v>
      </c>
    </row>
    <row r="14" spans="1:17" ht="19.5" customHeight="1" hidden="1">
      <c r="A14" s="572">
        <f>총인건비!A10</f>
        <v>0</v>
      </c>
      <c r="B14" s="518">
        <f>총인건비!B10</f>
        <v>0</v>
      </c>
      <c r="C14" s="572">
        <f>총인건비!C10</f>
        <v>0</v>
      </c>
      <c r="D14" s="569">
        <f>총인건비!G10</f>
        <v>10530000</v>
      </c>
      <c r="E14" s="569"/>
      <c r="F14" s="569"/>
      <c r="G14" s="569">
        <f>총인건비!P10</f>
        <v>6289570</v>
      </c>
      <c r="H14" s="569"/>
      <c r="I14" s="569">
        <f t="shared" si="0"/>
        <v>0</v>
      </c>
      <c r="J14" s="569">
        <f>총인건비!AD10</f>
        <v>0</v>
      </c>
      <c r="K14" s="571"/>
      <c r="L14" s="569">
        <f t="shared" si="2"/>
        <v>0</v>
      </c>
      <c r="N14" s="354">
        <v>13654410</v>
      </c>
      <c r="O14" s="253"/>
      <c r="P14" s="253">
        <v>2003760</v>
      </c>
      <c r="Q14" s="987"/>
    </row>
    <row r="15" spans="1:17" ht="19.5" customHeight="1">
      <c r="A15" s="572">
        <f>총인건비!A11</f>
        <v>5</v>
      </c>
      <c r="B15" s="518" t="str">
        <f>총인건비!B11</f>
        <v>생활지도원</v>
      </c>
      <c r="C15" s="572" t="str">
        <f>총인건비!C11</f>
        <v>김계주</v>
      </c>
      <c r="D15" s="569">
        <f>총인건비!G11</f>
        <v>25608000</v>
      </c>
      <c r="E15" s="569">
        <f>D15</f>
        <v>25608000</v>
      </c>
      <c r="F15" s="569"/>
      <c r="G15" s="569">
        <f>총인건비!P11</f>
        <v>15309220</v>
      </c>
      <c r="H15" s="569">
        <f>G15</f>
        <v>15309220</v>
      </c>
      <c r="I15" s="569">
        <f t="shared" si="0"/>
        <v>40917220</v>
      </c>
      <c r="J15" s="569">
        <f>총인건비!AD11</f>
        <v>4200240</v>
      </c>
      <c r="K15" s="570">
        <f>J15</f>
        <v>4200240</v>
      </c>
      <c r="L15" s="569">
        <f t="shared" si="2"/>
        <v>36716980</v>
      </c>
      <c r="N15" s="354">
        <v>13654410</v>
      </c>
      <c r="O15" s="253"/>
      <c r="P15" s="253">
        <v>4155480</v>
      </c>
      <c r="Q15" s="482" t="s">
        <v>269</v>
      </c>
    </row>
    <row r="16" spans="1:17" ht="19.5" customHeight="1">
      <c r="A16" s="572">
        <f>총인건비!A12</f>
        <v>6</v>
      </c>
      <c r="B16" s="518" t="str">
        <f>총인건비!B12</f>
        <v>생활지도원</v>
      </c>
      <c r="C16" s="572" t="str">
        <f>총인건비!C12</f>
        <v>김극진</v>
      </c>
      <c r="D16" s="569">
        <f>총인건비!G12</f>
        <v>5112000</v>
      </c>
      <c r="E16" s="569">
        <f t="shared" si="3"/>
        <v>20907000</v>
      </c>
      <c r="F16" s="569"/>
      <c r="G16" s="569">
        <f>총인건비!P12</f>
        <v>3460290</v>
      </c>
      <c r="H16" s="569">
        <f t="shared" si="4"/>
        <v>12008150</v>
      </c>
      <c r="I16" s="569">
        <f t="shared" si="0"/>
        <v>32915150</v>
      </c>
      <c r="J16" s="569">
        <f>총인건비!AD12</f>
        <v>3472680</v>
      </c>
      <c r="K16" s="570">
        <f>J16</f>
        <v>3472680</v>
      </c>
      <c r="L16" s="569">
        <f t="shared" si="2"/>
        <v>29442470</v>
      </c>
      <c r="N16" s="354">
        <v>7573330</v>
      </c>
      <c r="O16" s="253"/>
      <c r="P16" s="253">
        <v>3458880</v>
      </c>
      <c r="Q16" s="986" t="s">
        <v>243</v>
      </c>
    </row>
    <row r="17" spans="1:17" ht="19.5" customHeight="1" hidden="1">
      <c r="A17" s="572">
        <f>총인건비!A13</f>
        <v>0</v>
      </c>
      <c r="B17" s="518">
        <f>총인건비!B13</f>
        <v>0</v>
      </c>
      <c r="C17" s="572">
        <f>총인건비!C13</f>
        <v>0</v>
      </c>
      <c r="D17" s="569">
        <f>총인건비!G13</f>
        <v>15795000</v>
      </c>
      <c r="E17" s="569"/>
      <c r="F17" s="569"/>
      <c r="G17" s="569">
        <f>총인건비!P13</f>
        <v>8547860</v>
      </c>
      <c r="H17" s="569"/>
      <c r="I17" s="569">
        <f t="shared" si="0"/>
        <v>0</v>
      </c>
      <c r="J17" s="569">
        <f>총인건비!AD13</f>
        <v>0</v>
      </c>
      <c r="K17" s="570">
        <f t="shared" si="1"/>
        <v>0</v>
      </c>
      <c r="L17" s="569">
        <f t="shared" si="2"/>
        <v>0</v>
      </c>
      <c r="N17" s="354">
        <v>7573330</v>
      </c>
      <c r="O17" s="253"/>
      <c r="P17" s="253">
        <v>0</v>
      </c>
      <c r="Q17" s="987"/>
    </row>
    <row r="18" spans="1:17" ht="19.5" customHeight="1">
      <c r="A18" s="572">
        <f>총인건비!A14</f>
        <v>7</v>
      </c>
      <c r="B18" s="518" t="str">
        <f>총인건비!B14</f>
        <v>생활지도원</v>
      </c>
      <c r="C18" s="572" t="str">
        <f>총인건비!C14</f>
        <v>김세현</v>
      </c>
      <c r="D18" s="569">
        <f>총인건비!G14</f>
        <v>15336000</v>
      </c>
      <c r="E18" s="569">
        <f t="shared" si="3"/>
        <v>20601000</v>
      </c>
      <c r="F18" s="569"/>
      <c r="G18" s="569">
        <f>총인건비!P14</f>
        <v>9358480</v>
      </c>
      <c r="H18" s="569">
        <f t="shared" si="4"/>
        <v>11856760</v>
      </c>
      <c r="I18" s="569">
        <f t="shared" si="0"/>
        <v>32457760</v>
      </c>
      <c r="J18" s="569">
        <f>총인건비!AD14</f>
        <v>3431160</v>
      </c>
      <c r="K18" s="570">
        <f>J18</f>
        <v>3431160</v>
      </c>
      <c r="L18" s="569">
        <f t="shared" si="2"/>
        <v>29026600</v>
      </c>
      <c r="N18" s="354">
        <v>22316100</v>
      </c>
      <c r="O18" s="253"/>
      <c r="P18" s="253">
        <v>3458880</v>
      </c>
      <c r="Q18" s="986" t="s">
        <v>271</v>
      </c>
    </row>
    <row r="19" spans="1:17" ht="19.5" customHeight="1" hidden="1">
      <c r="A19" s="572">
        <f>총인건비!A15</f>
        <v>0</v>
      </c>
      <c r="B19" s="518">
        <f>총인건비!B15</f>
        <v>0</v>
      </c>
      <c r="C19" s="572">
        <f>총인건비!C15</f>
        <v>0</v>
      </c>
      <c r="D19" s="569">
        <f>총인건비!G15</f>
        <v>5265000</v>
      </c>
      <c r="E19" s="569"/>
      <c r="F19" s="569"/>
      <c r="G19" s="569">
        <f>총인건비!P15</f>
        <v>2498280</v>
      </c>
      <c r="H19" s="569"/>
      <c r="I19" s="569">
        <f t="shared" si="0"/>
        <v>0</v>
      </c>
      <c r="J19" s="569">
        <f>총인건비!AD15</f>
        <v>0</v>
      </c>
      <c r="K19" s="570">
        <f t="shared" si="1"/>
        <v>0</v>
      </c>
      <c r="L19" s="569">
        <f t="shared" si="2"/>
        <v>0</v>
      </c>
      <c r="N19" s="354">
        <v>12117920</v>
      </c>
      <c r="O19" s="253"/>
      <c r="P19" s="253">
        <v>0</v>
      </c>
      <c r="Q19" s="987"/>
    </row>
    <row r="20" spans="1:17" ht="19.5" customHeight="1">
      <c r="A20" s="572">
        <f>총인건비!A16</f>
        <v>8</v>
      </c>
      <c r="B20" s="518" t="str">
        <f>총인건비!B16</f>
        <v>생활지도원</v>
      </c>
      <c r="C20" s="572" t="str">
        <f>총인건비!C16</f>
        <v>이종영</v>
      </c>
      <c r="D20" s="569">
        <f>총인건비!G16</f>
        <v>15336000</v>
      </c>
      <c r="E20" s="569">
        <f t="shared" si="3"/>
        <v>20601000</v>
      </c>
      <c r="F20" s="569"/>
      <c r="G20" s="569">
        <f>총인건비!P16</f>
        <v>9358480</v>
      </c>
      <c r="H20" s="569">
        <f t="shared" si="4"/>
        <v>11856760</v>
      </c>
      <c r="I20" s="569">
        <f t="shared" si="0"/>
        <v>32457760</v>
      </c>
      <c r="J20" s="569">
        <f>총인건비!AD16</f>
        <v>3431160</v>
      </c>
      <c r="K20" s="570">
        <f>J20</f>
        <v>3431160</v>
      </c>
      <c r="L20" s="569">
        <f t="shared" si="2"/>
        <v>29026600</v>
      </c>
      <c r="N20" s="354">
        <v>22446630</v>
      </c>
      <c r="O20" s="253"/>
      <c r="P20" s="253">
        <v>3458880</v>
      </c>
      <c r="Q20" s="986" t="s">
        <v>272</v>
      </c>
    </row>
    <row r="21" spans="1:17" ht="19.5" customHeight="1" hidden="1">
      <c r="A21" s="572">
        <f>총인건비!A17</f>
        <v>0</v>
      </c>
      <c r="B21" s="518">
        <f>총인건비!B17</f>
        <v>0</v>
      </c>
      <c r="C21" s="572">
        <f>총인건비!C17</f>
        <v>0</v>
      </c>
      <c r="D21" s="569">
        <f>총인건비!G17</f>
        <v>5265000</v>
      </c>
      <c r="E21" s="569"/>
      <c r="F21" s="569"/>
      <c r="G21" s="569">
        <f>총인건비!P17</f>
        <v>2498280</v>
      </c>
      <c r="H21" s="569"/>
      <c r="I21" s="569">
        <f t="shared" si="0"/>
        <v>0</v>
      </c>
      <c r="J21" s="569">
        <f>총인건비!AD17</f>
        <v>0</v>
      </c>
      <c r="K21" s="570">
        <f t="shared" si="1"/>
        <v>0</v>
      </c>
      <c r="L21" s="569">
        <f t="shared" si="2"/>
        <v>0</v>
      </c>
      <c r="N21" s="354">
        <v>25690840</v>
      </c>
      <c r="O21" s="253"/>
      <c r="P21" s="253">
        <v>0</v>
      </c>
      <c r="Q21" s="987"/>
    </row>
    <row r="22" spans="1:17" ht="19.5" customHeight="1">
      <c r="A22" s="572">
        <f>총인건비!A18</f>
        <v>9</v>
      </c>
      <c r="B22" s="518" t="str">
        <f>총인건비!B18</f>
        <v>생활지도원</v>
      </c>
      <c r="C22" s="572" t="str">
        <f>총인건비!C18</f>
        <v>신규</v>
      </c>
      <c r="D22" s="569">
        <f>총인건비!G18</f>
        <v>20448000</v>
      </c>
      <c r="E22" s="569">
        <f>D22</f>
        <v>20448000</v>
      </c>
      <c r="F22" s="569"/>
      <c r="G22" s="569">
        <f>총인건비!P18</f>
        <v>12756370</v>
      </c>
      <c r="H22" s="569">
        <f>G22</f>
        <v>12756370</v>
      </c>
      <c r="I22" s="569">
        <f t="shared" si="0"/>
        <v>33204370</v>
      </c>
      <c r="J22" s="569">
        <f>총인건비!AD18</f>
        <v>3499080</v>
      </c>
      <c r="K22" s="570">
        <f>J22</f>
        <v>3499080</v>
      </c>
      <c r="L22" s="569">
        <f t="shared" si="2"/>
        <v>29705290</v>
      </c>
      <c r="N22" s="354">
        <v>25580840</v>
      </c>
      <c r="O22" s="253"/>
      <c r="P22" s="253">
        <v>3238800</v>
      </c>
      <c r="Q22" s="482" t="s">
        <v>286</v>
      </c>
    </row>
    <row r="23" spans="1:17" ht="19.5" customHeight="1">
      <c r="A23" s="572">
        <f>총인건비!A19</f>
        <v>10</v>
      </c>
      <c r="B23" s="518" t="str">
        <f>총인건비!B19</f>
        <v>생활지도원</v>
      </c>
      <c r="C23" s="572" t="str">
        <f>총인건비!C19</f>
        <v>김민지</v>
      </c>
      <c r="D23" s="569">
        <f>총인건비!G19</f>
        <v>15795000</v>
      </c>
      <c r="E23" s="569">
        <f aca="true" t="shared" si="5" ref="E23:E29">D23+D24</f>
        <v>21375000</v>
      </c>
      <c r="F23" s="569"/>
      <c r="G23" s="569">
        <f>총인건비!P19</f>
        <v>9600860</v>
      </c>
      <c r="H23" s="569">
        <f aca="true" t="shared" si="6" ref="H23:H29">G23+G24</f>
        <v>12223490</v>
      </c>
      <c r="I23" s="569">
        <f t="shared" si="0"/>
        <v>33598490</v>
      </c>
      <c r="J23" s="569">
        <f>총인건비!AD19</f>
        <v>3534720</v>
      </c>
      <c r="K23" s="570">
        <f>J23</f>
        <v>3534720</v>
      </c>
      <c r="L23" s="569">
        <f t="shared" si="2"/>
        <v>30063770</v>
      </c>
      <c r="N23" s="354">
        <v>6321000</v>
      </c>
      <c r="O23" s="253"/>
      <c r="P23" s="253">
        <v>5912520</v>
      </c>
      <c r="Q23" s="307" t="s">
        <v>336</v>
      </c>
    </row>
    <row r="24" spans="1:17" ht="19.5" customHeight="1" hidden="1" thickBot="1">
      <c r="A24" s="572">
        <f>총인건비!A20</f>
        <v>0</v>
      </c>
      <c r="B24" s="518">
        <f>총인건비!B20</f>
        <v>0</v>
      </c>
      <c r="C24" s="572">
        <f>총인건비!C20</f>
        <v>0</v>
      </c>
      <c r="D24" s="569">
        <f>총인건비!G20</f>
        <v>5580000</v>
      </c>
      <c r="E24" s="569"/>
      <c r="F24" s="574"/>
      <c r="G24" s="569">
        <f>총인건비!P20</f>
        <v>2622630</v>
      </c>
      <c r="H24" s="569"/>
      <c r="I24" s="569">
        <f t="shared" si="0"/>
        <v>0</v>
      </c>
      <c r="J24" s="569">
        <f>총인건비!AD20</f>
        <v>0</v>
      </c>
      <c r="K24" s="570"/>
      <c r="L24" s="569">
        <f t="shared" si="2"/>
        <v>0</v>
      </c>
      <c r="N24" s="189">
        <v>365116440</v>
      </c>
      <c r="O24" s="253"/>
      <c r="P24" s="253">
        <v>5912520</v>
      </c>
      <c r="Q24" s="307" t="s">
        <v>335</v>
      </c>
    </row>
    <row r="25" spans="1:17" ht="19.5" customHeight="1">
      <c r="A25" s="572">
        <f>총인건비!A21</f>
        <v>11</v>
      </c>
      <c r="B25" s="518" t="str">
        <f>총인건비!B21</f>
        <v>생활지도원</v>
      </c>
      <c r="C25" s="572" t="str">
        <f>총인건비!C21</f>
        <v>손성호</v>
      </c>
      <c r="D25" s="569">
        <f>총인건비!G21</f>
        <v>15795000</v>
      </c>
      <c r="E25" s="569">
        <f t="shared" si="5"/>
        <v>21375000</v>
      </c>
      <c r="F25" s="571"/>
      <c r="G25" s="569">
        <f>총인건비!P21</f>
        <v>9880860</v>
      </c>
      <c r="H25" s="569">
        <f t="shared" si="6"/>
        <v>12503490</v>
      </c>
      <c r="I25" s="569">
        <f t="shared" si="0"/>
        <v>33878490</v>
      </c>
      <c r="J25" s="569">
        <f>총인건비!AD21</f>
        <v>3560400</v>
      </c>
      <c r="K25" s="570">
        <f>J25</f>
        <v>3560400</v>
      </c>
      <c r="L25" s="569">
        <f t="shared" si="2"/>
        <v>30318090</v>
      </c>
      <c r="P25" s="253">
        <v>4486200</v>
      </c>
      <c r="Q25" s="307" t="s">
        <v>227</v>
      </c>
    </row>
    <row r="26" spans="1:17" ht="19.5" customHeight="1" hidden="1">
      <c r="A26" s="572">
        <f>총인건비!A22</f>
        <v>0</v>
      </c>
      <c r="B26" s="518">
        <f>총인건비!B22</f>
        <v>0</v>
      </c>
      <c r="C26" s="572">
        <f>총인건비!C22</f>
        <v>0</v>
      </c>
      <c r="D26" s="569">
        <f>총인건비!G22</f>
        <v>5580000</v>
      </c>
      <c r="E26" s="569"/>
      <c r="F26" s="571"/>
      <c r="G26" s="569">
        <f>총인건비!P22</f>
        <v>2622630</v>
      </c>
      <c r="H26" s="569"/>
      <c r="I26" s="569">
        <f t="shared" si="0"/>
        <v>0</v>
      </c>
      <c r="J26" s="569">
        <f>총인건비!AD22</f>
        <v>0</v>
      </c>
      <c r="K26" s="570"/>
      <c r="L26" s="569">
        <f t="shared" si="2"/>
        <v>0</v>
      </c>
      <c r="P26" s="253">
        <v>4421760</v>
      </c>
      <c r="Q26" s="307" t="s">
        <v>227</v>
      </c>
    </row>
    <row r="27" spans="1:17" ht="19.5" customHeight="1">
      <c r="A27" s="572">
        <f>총인건비!A23</f>
        <v>12</v>
      </c>
      <c r="B27" s="518" t="str">
        <f>총인건비!B23</f>
        <v>생활지도원</v>
      </c>
      <c r="C27" s="572" t="str">
        <f>총인건비!C23</f>
        <v>박민지</v>
      </c>
      <c r="D27" s="569">
        <f>총인건비!G23</f>
        <v>4662000</v>
      </c>
      <c r="E27" s="569">
        <f t="shared" si="5"/>
        <v>19080000</v>
      </c>
      <c r="F27" s="571"/>
      <c r="G27" s="569">
        <f>총인건비!P23</f>
        <v>3192660</v>
      </c>
      <c r="H27" s="569">
        <f t="shared" si="6"/>
        <v>11105170</v>
      </c>
      <c r="I27" s="569">
        <f t="shared" si="0"/>
        <v>30185170</v>
      </c>
      <c r="J27" s="569">
        <f>총인건비!AD23</f>
        <v>3224520</v>
      </c>
      <c r="K27" s="570">
        <f>J27</f>
        <v>3224520</v>
      </c>
      <c r="L27" s="569">
        <f t="shared" si="2"/>
        <v>26960650</v>
      </c>
      <c r="P27" s="253">
        <v>5538120</v>
      </c>
      <c r="Q27" s="307" t="s">
        <v>227</v>
      </c>
    </row>
    <row r="28" spans="1:17" ht="19.5" customHeight="1" hidden="1">
      <c r="A28" s="572">
        <f>총인건비!A24</f>
        <v>0</v>
      </c>
      <c r="B28" s="518">
        <f>총인건비!B24</f>
        <v>0</v>
      </c>
      <c r="C28" s="572">
        <f>총인건비!C24</f>
        <v>0</v>
      </c>
      <c r="D28" s="569">
        <f>총인건비!G24</f>
        <v>14418000</v>
      </c>
      <c r="E28" s="569"/>
      <c r="F28" s="571"/>
      <c r="G28" s="569">
        <f>총인건비!P24</f>
        <v>7912510</v>
      </c>
      <c r="H28" s="569"/>
      <c r="I28" s="569">
        <f t="shared" si="0"/>
        <v>0</v>
      </c>
      <c r="J28" s="569">
        <f>총인건비!AD24</f>
        <v>0</v>
      </c>
      <c r="K28" s="570"/>
      <c r="L28" s="569">
        <f t="shared" si="2"/>
        <v>0</v>
      </c>
      <c r="P28" s="253">
        <v>5538120</v>
      </c>
      <c r="Q28" s="307" t="s">
        <v>227</v>
      </c>
    </row>
    <row r="29" spans="1:17" ht="19.5" customHeight="1">
      <c r="A29" s="572">
        <f>총인건비!A25</f>
        <v>13</v>
      </c>
      <c r="B29" s="518" t="str">
        <f>총인건비!B25</f>
        <v>생활지도원</v>
      </c>
      <c r="C29" s="572" t="str">
        <f>총인건비!C25</f>
        <v>정동민</v>
      </c>
      <c r="D29" s="569">
        <f>총인건비!G25</f>
        <v>15795000</v>
      </c>
      <c r="E29" s="569">
        <f t="shared" si="5"/>
        <v>21375000</v>
      </c>
      <c r="F29" s="571"/>
      <c r="G29" s="569">
        <f>총인건비!P25</f>
        <v>9600860</v>
      </c>
      <c r="H29" s="569">
        <f t="shared" si="6"/>
        <v>12223490</v>
      </c>
      <c r="I29" s="569">
        <f t="shared" si="0"/>
        <v>33598490</v>
      </c>
      <c r="J29" s="569">
        <f>총인건비!AD25</f>
        <v>3534720</v>
      </c>
      <c r="K29" s="570">
        <f>J29</f>
        <v>3534720</v>
      </c>
      <c r="L29" s="569">
        <f t="shared" si="2"/>
        <v>30063770</v>
      </c>
      <c r="P29" s="253">
        <v>2935440</v>
      </c>
      <c r="Q29" s="986" t="s">
        <v>244</v>
      </c>
    </row>
    <row r="30" spans="1:17" ht="19.5" customHeight="1" hidden="1">
      <c r="A30" s="572">
        <f>총인건비!A26</f>
        <v>0</v>
      </c>
      <c r="B30" s="518">
        <f>총인건비!B26</f>
        <v>0</v>
      </c>
      <c r="C30" s="572">
        <f>총인건비!C26</f>
        <v>0</v>
      </c>
      <c r="D30" s="569">
        <f>총인건비!G26</f>
        <v>5580000</v>
      </c>
      <c r="E30" s="569"/>
      <c r="F30" s="571"/>
      <c r="G30" s="569">
        <f>총인건비!P26</f>
        <v>2622630</v>
      </c>
      <c r="H30" s="569"/>
      <c r="I30" s="569">
        <f t="shared" si="0"/>
        <v>0</v>
      </c>
      <c r="J30" s="569">
        <f>총인건비!AD26</f>
        <v>0</v>
      </c>
      <c r="K30" s="570">
        <f t="shared" si="1"/>
        <v>0</v>
      </c>
      <c r="L30" s="569">
        <f t="shared" si="2"/>
        <v>0</v>
      </c>
      <c r="P30" s="253">
        <v>0</v>
      </c>
      <c r="Q30" s="987"/>
    </row>
    <row r="31" spans="1:17" ht="19.5" customHeight="1">
      <c r="A31" s="572">
        <f>총인건비!A27</f>
        <v>14</v>
      </c>
      <c r="B31" s="518" t="str">
        <f>총인건비!B27</f>
        <v>생활지도원</v>
      </c>
      <c r="C31" s="572" t="str">
        <f>총인건비!C27</f>
        <v>신규</v>
      </c>
      <c r="D31" s="569">
        <f>총인건비!G27</f>
        <v>21060000</v>
      </c>
      <c r="E31" s="569">
        <f>D31</f>
        <v>21060000</v>
      </c>
      <c r="F31" s="571"/>
      <c r="G31" s="569">
        <f>총인건비!P27</f>
        <v>12099150</v>
      </c>
      <c r="H31" s="569">
        <f>G31</f>
        <v>12099150</v>
      </c>
      <c r="I31" s="569">
        <f t="shared" si="0"/>
        <v>33159150</v>
      </c>
      <c r="J31" s="569">
        <f>총인건비!AD27</f>
        <v>3494880</v>
      </c>
      <c r="K31" s="570">
        <f>J31</f>
        <v>3494880</v>
      </c>
      <c r="L31" s="569">
        <f t="shared" si="2"/>
        <v>29664270</v>
      </c>
      <c r="P31" s="253">
        <v>2911920</v>
      </c>
      <c r="Q31" s="986" t="s">
        <v>273</v>
      </c>
    </row>
    <row r="32" spans="1:17" ht="19.5" customHeight="1">
      <c r="A32" s="572">
        <f>총인건비!A28</f>
        <v>15</v>
      </c>
      <c r="B32" s="518" t="str">
        <f>총인건비!B28</f>
        <v>상담평가원</v>
      </c>
      <c r="C32" s="572" t="str">
        <f>총인건비!C28</f>
        <v>신규</v>
      </c>
      <c r="D32" s="569">
        <f>총인건비!G28</f>
        <v>23736000</v>
      </c>
      <c r="E32" s="569">
        <f>D32</f>
        <v>23736000</v>
      </c>
      <c r="F32" s="571"/>
      <c r="G32" s="569">
        <f>총인건비!P28</f>
        <v>10015990</v>
      </c>
      <c r="H32" s="569">
        <f>G32</f>
        <v>10015990</v>
      </c>
      <c r="I32" s="569">
        <f t="shared" si="0"/>
        <v>33751990</v>
      </c>
      <c r="J32" s="569">
        <f>총인건비!AD28</f>
        <v>3548760</v>
      </c>
      <c r="K32" s="570">
        <f>J32</f>
        <v>3548760</v>
      </c>
      <c r="L32" s="569">
        <f t="shared" si="2"/>
        <v>30203230</v>
      </c>
      <c r="P32" s="253">
        <v>0</v>
      </c>
      <c r="Q32" s="987"/>
    </row>
    <row r="33" spans="1:17" ht="19.5" customHeight="1">
      <c r="A33" s="572">
        <f>총인건비!A29</f>
        <v>16</v>
      </c>
      <c r="B33" s="518" t="str">
        <f>총인건비!B29</f>
        <v>조리원</v>
      </c>
      <c r="C33" s="572" t="str">
        <f>총인건비!C29</f>
        <v>김봉란</v>
      </c>
      <c r="D33" s="569">
        <f>총인건비!G29</f>
        <v>4245000</v>
      </c>
      <c r="E33" s="569">
        <f aca="true" t="shared" si="7" ref="E33">D33+D34</f>
        <v>17430000</v>
      </c>
      <c r="F33" s="571"/>
      <c r="G33" s="569">
        <f>총인건비!P29</f>
        <v>2824650</v>
      </c>
      <c r="H33" s="569">
        <f aca="true" t="shared" si="8" ref="H33">G33+G34</f>
        <v>9808250</v>
      </c>
      <c r="I33" s="569">
        <f t="shared" si="0"/>
        <v>27238250</v>
      </c>
      <c r="J33" s="569">
        <f>총인건비!AD29</f>
        <v>2956560</v>
      </c>
      <c r="K33" s="570">
        <f>J33</f>
        <v>2956560</v>
      </c>
      <c r="L33" s="569">
        <f t="shared" si="2"/>
        <v>24281690</v>
      </c>
      <c r="P33" s="253">
        <v>2969400</v>
      </c>
      <c r="Q33" s="986" t="s">
        <v>274</v>
      </c>
    </row>
    <row r="34" spans="1:17" ht="19.5" customHeight="1" hidden="1">
      <c r="A34" s="572">
        <f>총인건비!A30</f>
        <v>0</v>
      </c>
      <c r="B34" s="518">
        <f>총인건비!B30</f>
        <v>0</v>
      </c>
      <c r="C34" s="572">
        <f>총인건비!C30</f>
        <v>0</v>
      </c>
      <c r="D34" s="569">
        <f>총인건비!G30</f>
        <v>13185000</v>
      </c>
      <c r="E34" s="569"/>
      <c r="F34" s="571"/>
      <c r="G34" s="569">
        <f>총인건비!P30</f>
        <v>6983600</v>
      </c>
      <c r="H34" s="569"/>
      <c r="I34" s="569">
        <f t="shared" si="0"/>
        <v>0</v>
      </c>
      <c r="J34" s="569">
        <f>총인건비!AD30</f>
        <v>0</v>
      </c>
      <c r="K34" s="570">
        <f t="shared" si="1"/>
        <v>0</v>
      </c>
      <c r="L34" s="569">
        <f t="shared" si="2"/>
        <v>0</v>
      </c>
      <c r="P34" s="253">
        <v>0</v>
      </c>
      <c r="Q34" s="987"/>
    </row>
    <row r="35" spans="1:17" ht="19.5" customHeight="1">
      <c r="A35" s="572">
        <f>총인건비!A31</f>
        <v>17</v>
      </c>
      <c r="B35" s="518" t="str">
        <f>총인건비!B31</f>
        <v>조리원</v>
      </c>
      <c r="C35" s="572" t="str">
        <f>총인건비!C31</f>
        <v>서숙재</v>
      </c>
      <c r="D35" s="569">
        <f>총인건비!G31</f>
        <v>12735000</v>
      </c>
      <c r="E35" s="569">
        <f>D35+D36</f>
        <v>17130000</v>
      </c>
      <c r="F35" s="571"/>
      <c r="G35" s="569">
        <f>총인건비!P31</f>
        <v>7984970</v>
      </c>
      <c r="H35" s="569">
        <f>G35+G36</f>
        <v>10139830</v>
      </c>
      <c r="I35" s="569">
        <f t="shared" si="0"/>
        <v>27269830</v>
      </c>
      <c r="J35" s="569">
        <f>총인건비!AD31</f>
        <v>2959440</v>
      </c>
      <c r="K35" s="570">
        <f>J35</f>
        <v>2959440</v>
      </c>
      <c r="L35" s="569">
        <f t="shared" si="2"/>
        <v>24310390</v>
      </c>
      <c r="P35" s="253">
        <v>3553560</v>
      </c>
      <c r="Q35" s="986" t="s">
        <v>275</v>
      </c>
    </row>
    <row r="36" spans="1:17" ht="19.5" customHeight="1" hidden="1">
      <c r="A36" s="572">
        <f>총인건비!A32</f>
        <v>0</v>
      </c>
      <c r="B36" s="518">
        <f>총인건비!B32</f>
        <v>0</v>
      </c>
      <c r="C36" s="572">
        <f>총인건비!C32</f>
        <v>0</v>
      </c>
      <c r="D36" s="569">
        <f>총인건비!G32</f>
        <v>4395000</v>
      </c>
      <c r="E36" s="569"/>
      <c r="F36" s="571"/>
      <c r="G36" s="569">
        <f>총인건비!P32</f>
        <v>2154860</v>
      </c>
      <c r="H36" s="569"/>
      <c r="I36" s="569">
        <f t="shared" si="0"/>
        <v>0</v>
      </c>
      <c r="J36" s="569">
        <f>총인건비!AD32</f>
        <v>0</v>
      </c>
      <c r="K36" s="570">
        <f t="shared" si="1"/>
        <v>0</v>
      </c>
      <c r="L36" s="569">
        <f t="shared" si="2"/>
        <v>0</v>
      </c>
      <c r="P36" s="253">
        <v>0</v>
      </c>
      <c r="Q36" s="987"/>
    </row>
    <row r="37" spans="1:17" ht="19.5" customHeight="1">
      <c r="A37" s="572">
        <f>총인건비!A33</f>
        <v>18</v>
      </c>
      <c r="B37" s="518" t="str">
        <f>총인건비!B33</f>
        <v>위생원</v>
      </c>
      <c r="C37" s="572" t="str">
        <f>총인건비!C33</f>
        <v>정안순</v>
      </c>
      <c r="D37" s="569">
        <f>총인건비!G33</f>
        <v>14103000</v>
      </c>
      <c r="E37" s="569">
        <f>D37+D38</f>
        <v>19095000</v>
      </c>
      <c r="F37" s="571"/>
      <c r="G37" s="569">
        <f>총인건비!P33</f>
        <v>7043010</v>
      </c>
      <c r="H37" s="569">
        <f>G37+G38</f>
        <v>8836980</v>
      </c>
      <c r="I37" s="569">
        <f t="shared" si="0"/>
        <v>27931980</v>
      </c>
      <c r="J37" s="569">
        <f>총인건비!AD33</f>
        <v>3019560</v>
      </c>
      <c r="K37" s="570">
        <f>J37</f>
        <v>3019560</v>
      </c>
      <c r="L37" s="569">
        <f t="shared" si="2"/>
        <v>24912420</v>
      </c>
      <c r="P37" s="253">
        <f>총인건비!AD35</f>
        <v>3130200</v>
      </c>
      <c r="Q37" s="314" t="s">
        <v>227</v>
      </c>
    </row>
    <row r="38" spans="1:16" ht="19.5" customHeight="1" hidden="1">
      <c r="A38" s="572">
        <f>총인건비!A34</f>
        <v>0</v>
      </c>
      <c r="B38" s="518">
        <f>총인건비!B34</f>
        <v>0</v>
      </c>
      <c r="C38" s="572">
        <f>총인건비!C34</f>
        <v>0</v>
      </c>
      <c r="D38" s="569">
        <f>총인건비!G34</f>
        <v>4992000</v>
      </c>
      <c r="E38" s="569"/>
      <c r="F38" s="571"/>
      <c r="G38" s="569">
        <f>총인건비!P34</f>
        <v>1793970</v>
      </c>
      <c r="H38" s="569"/>
      <c r="I38" s="569">
        <f t="shared" si="0"/>
        <v>0</v>
      </c>
      <c r="J38" s="569">
        <f>총인건비!AD34</f>
        <v>0</v>
      </c>
      <c r="K38" s="570"/>
      <c r="L38" s="569">
        <f t="shared" si="2"/>
        <v>0</v>
      </c>
      <c r="P38" s="253">
        <v>2902200</v>
      </c>
    </row>
    <row r="39" spans="1:14" ht="19.5" customHeight="1">
      <c r="A39" s="572">
        <f>총인건비!A35</f>
        <v>19</v>
      </c>
      <c r="B39" s="518" t="str">
        <f>총인건비!B35</f>
        <v>작업치료사</v>
      </c>
      <c r="C39" s="572" t="str">
        <f>총인건비!C35</f>
        <v>박은정</v>
      </c>
      <c r="D39" s="569">
        <f>총인건비!G35</f>
        <v>9990000</v>
      </c>
      <c r="E39" s="569">
        <f aca="true" t="shared" si="9" ref="E39:E41">D39+D40</f>
        <v>20328000</v>
      </c>
      <c r="F39" s="569">
        <f aca="true" t="shared" si="10" ref="F39:N39">SUM(F7:F38)</f>
        <v>0</v>
      </c>
      <c r="G39" s="569">
        <f>총인건비!P35</f>
        <v>4348440</v>
      </c>
      <c r="H39" s="569">
        <f aca="true" t="shared" si="11" ref="H39:H41">G39+G40</f>
        <v>8819100</v>
      </c>
      <c r="I39" s="569">
        <f t="shared" si="0"/>
        <v>29147100</v>
      </c>
      <c r="J39" s="569">
        <f>총인건비!AD35</f>
        <v>3130200</v>
      </c>
      <c r="K39" s="569">
        <f>J39</f>
        <v>3130200</v>
      </c>
      <c r="L39" s="569">
        <f t="shared" si="2"/>
        <v>26016900</v>
      </c>
      <c r="M39" s="422">
        <f t="shared" si="10"/>
        <v>0</v>
      </c>
      <c r="N39" s="422">
        <f t="shared" si="10"/>
        <v>730232880</v>
      </c>
    </row>
    <row r="40" spans="1:12" ht="19.5" customHeight="1" hidden="1">
      <c r="A40" s="572">
        <f>총인건비!A36</f>
        <v>0</v>
      </c>
      <c r="B40" s="518">
        <f>총인건비!B36</f>
        <v>0</v>
      </c>
      <c r="C40" s="572">
        <f>총인건비!C36</f>
        <v>0</v>
      </c>
      <c r="D40" s="569">
        <f>총인건비!G36</f>
        <v>10338000</v>
      </c>
      <c r="E40" s="569"/>
      <c r="F40" s="571"/>
      <c r="G40" s="569">
        <f>총인건비!P36</f>
        <v>4470660</v>
      </c>
      <c r="H40" s="569"/>
      <c r="I40" s="569">
        <f t="shared" si="0"/>
        <v>0</v>
      </c>
      <c r="J40" s="569">
        <f>총인건비!AD36</f>
        <v>0</v>
      </c>
      <c r="K40" s="571"/>
      <c r="L40" s="569">
        <f t="shared" si="2"/>
        <v>0</v>
      </c>
    </row>
    <row r="41" spans="1:12" ht="19.5" customHeight="1">
      <c r="A41" s="572">
        <f>총인건비!A37</f>
        <v>20</v>
      </c>
      <c r="B41" s="518" t="str">
        <f>총인건비!B37</f>
        <v>간호원</v>
      </c>
      <c r="C41" s="572" t="str">
        <f>총인건비!C37</f>
        <v>양은하</v>
      </c>
      <c r="D41" s="569">
        <f>총인건비!G37</f>
        <v>5934000</v>
      </c>
      <c r="E41" s="569">
        <f t="shared" si="9"/>
        <v>24564000</v>
      </c>
      <c r="F41" s="571"/>
      <c r="G41" s="569">
        <f>총인건비!P37</f>
        <v>3217390</v>
      </c>
      <c r="H41" s="569">
        <f t="shared" si="11"/>
        <v>10759170</v>
      </c>
      <c r="I41" s="569">
        <f t="shared" si="0"/>
        <v>35323170</v>
      </c>
      <c r="J41" s="569">
        <f>총인건비!AD37</f>
        <v>3691680</v>
      </c>
      <c r="K41" s="573">
        <f>J41</f>
        <v>3691680</v>
      </c>
      <c r="L41" s="569">
        <f t="shared" si="2"/>
        <v>31631490</v>
      </c>
    </row>
    <row r="42" spans="1:12" ht="19.5" customHeight="1" hidden="1">
      <c r="A42" s="572">
        <f>총인건비!A38</f>
        <v>0</v>
      </c>
      <c r="B42" s="518">
        <f>총인건비!B38</f>
        <v>0</v>
      </c>
      <c r="C42" s="572">
        <f>총인건비!C38</f>
        <v>0</v>
      </c>
      <c r="D42" s="569">
        <f>총인건비!G38</f>
        <v>18630000</v>
      </c>
      <c r="E42" s="569"/>
      <c r="F42" s="571"/>
      <c r="G42" s="569">
        <f>총인건비!P38</f>
        <v>7541780</v>
      </c>
      <c r="H42" s="569"/>
      <c r="I42" s="569">
        <f t="shared" si="0"/>
        <v>0</v>
      </c>
      <c r="J42" s="569">
        <f>총인건비!AD38</f>
        <v>0</v>
      </c>
      <c r="K42" s="571"/>
      <c r="L42" s="569">
        <f t="shared" si="2"/>
        <v>0</v>
      </c>
    </row>
    <row r="43" spans="1:12" ht="19.5" customHeight="1">
      <c r="A43" s="572">
        <f>총인건비!A39</f>
        <v>21</v>
      </c>
      <c r="B43" s="518" t="str">
        <f>총인건비!B39</f>
        <v>사무원</v>
      </c>
      <c r="C43" s="572" t="str">
        <f>총인건비!C39</f>
        <v>황효섭</v>
      </c>
      <c r="D43" s="569">
        <f>총인건비!G39</f>
        <v>19224000</v>
      </c>
      <c r="E43" s="569">
        <f>D43</f>
        <v>19224000</v>
      </c>
      <c r="F43" s="571"/>
      <c r="G43" s="569">
        <f>총인건비!P39</f>
        <v>7870990</v>
      </c>
      <c r="H43" s="569">
        <f>G43</f>
        <v>7870990</v>
      </c>
      <c r="I43" s="569">
        <f t="shared" si="0"/>
        <v>27094990</v>
      </c>
      <c r="J43" s="569">
        <f>총인건비!AD39</f>
        <v>2943480</v>
      </c>
      <c r="K43" s="573">
        <f>J43</f>
        <v>2943480</v>
      </c>
      <c r="L43" s="569">
        <f t="shared" si="2"/>
        <v>24151510</v>
      </c>
    </row>
    <row r="44" spans="1:12" ht="24.75" customHeight="1">
      <c r="A44" s="992" t="s">
        <v>452</v>
      </c>
      <c r="B44" s="992"/>
      <c r="C44" s="993"/>
      <c r="D44" s="575">
        <f>총인건비!G40</f>
        <v>475677000</v>
      </c>
      <c r="E44" s="575">
        <f>SUM(E7:E43)</f>
        <v>475677000</v>
      </c>
      <c r="F44" s="575">
        <f aca="true" t="shared" si="12" ref="F44:L44">SUM(F7:F43)</f>
        <v>0</v>
      </c>
      <c r="G44" s="575">
        <f t="shared" si="12"/>
        <v>248808590</v>
      </c>
      <c r="H44" s="575">
        <f t="shared" si="12"/>
        <v>248808590</v>
      </c>
      <c r="I44" s="575">
        <f t="shared" si="12"/>
        <v>724485590</v>
      </c>
      <c r="J44" s="575">
        <f t="shared" si="12"/>
        <v>75952560</v>
      </c>
      <c r="K44" s="575">
        <f t="shared" si="12"/>
        <v>75952560</v>
      </c>
      <c r="L44" s="575">
        <f t="shared" si="12"/>
        <v>648533030</v>
      </c>
    </row>
    <row r="45" spans="4:5" ht="14.25">
      <c r="D45" s="464">
        <f>총인건비!G41</f>
        <v>0</v>
      </c>
      <c r="E45" s="422"/>
    </row>
    <row r="46" spans="4:5" ht="13.5">
      <c r="D46" s="230">
        <f>총인건비!G44+총인건비!G45</f>
        <v>0</v>
      </c>
      <c r="E46" s="422"/>
    </row>
    <row r="47" spans="4:5" ht="13.5">
      <c r="D47" s="230">
        <f>총인건비!G45+총인건비!G46</f>
        <v>0</v>
      </c>
      <c r="E47" s="422"/>
    </row>
    <row r="48" spans="4:7" ht="13.5">
      <c r="D48" s="230">
        <f>총인건비!G46+총인건비!G47</f>
        <v>0</v>
      </c>
      <c r="E48" s="422"/>
      <c r="G48" s="568">
        <f>E44+H44</f>
        <v>724485590</v>
      </c>
    </row>
    <row r="49" spans="4:5" ht="13.5">
      <c r="D49" s="230">
        <f>총인건비!G47+총인건비!G48</f>
        <v>0</v>
      </c>
      <c r="E49" s="422"/>
    </row>
    <row r="50" spans="4:5" ht="13.5">
      <c r="D50" s="230" t="e">
        <f>총인건비!G48+총인건비!G49</f>
        <v>#VALUE!</v>
      </c>
      <c r="E50" s="422"/>
    </row>
  </sheetData>
  <mergeCells count="25">
    <mergeCell ref="A44:C44"/>
    <mergeCell ref="F5:H5"/>
    <mergeCell ref="I5:I6"/>
    <mergeCell ref="K5:K6"/>
    <mergeCell ref="A1:L1"/>
    <mergeCell ref="A2:L2"/>
    <mergeCell ref="A3:L3"/>
    <mergeCell ref="A4:L4"/>
    <mergeCell ref="L5:L6"/>
    <mergeCell ref="A5:A6"/>
    <mergeCell ref="B5:B6"/>
    <mergeCell ref="C5:C6"/>
    <mergeCell ref="D5:D6"/>
    <mergeCell ref="E5:E6"/>
    <mergeCell ref="Q7:Q8"/>
    <mergeCell ref="Q9:Q10"/>
    <mergeCell ref="Q11:Q12"/>
    <mergeCell ref="Q13:Q14"/>
    <mergeCell ref="Q16:Q17"/>
    <mergeCell ref="Q35:Q36"/>
    <mergeCell ref="Q18:Q19"/>
    <mergeCell ref="Q20:Q21"/>
    <mergeCell ref="Q29:Q30"/>
    <mergeCell ref="Q31:Q32"/>
    <mergeCell ref="Q33:Q34"/>
  </mergeCells>
  <printOptions/>
  <pageMargins left="0.9448818897637796" right="0.31496062992125984" top="0.5511811023622047" bottom="0.5905511811023623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6"/>
  <sheetViews>
    <sheetView view="pageBreakPreview" zoomScale="80" zoomScaleSheetLayoutView="80" workbookViewId="0" topLeftCell="A40">
      <selection activeCell="J54" sqref="J54"/>
    </sheetView>
  </sheetViews>
  <sheetFormatPr defaultColWidth="8.88671875" defaultRowHeight="13.5"/>
  <cols>
    <col min="1" max="1" width="6.21484375" style="0" customWidth="1"/>
    <col min="2" max="2" width="10.4453125" style="0" customWidth="1"/>
    <col min="3" max="3" width="6.10546875" style="0" customWidth="1"/>
    <col min="4" max="4" width="10.88671875" style="0" customWidth="1"/>
    <col min="5" max="5" width="12.3359375" style="0" customWidth="1"/>
    <col min="6" max="6" width="6.10546875" style="0" customWidth="1"/>
    <col min="7" max="7" width="15.77734375" style="0" customWidth="1"/>
    <col min="8" max="8" width="15.6640625" style="0" customWidth="1"/>
    <col min="9" max="9" width="12.88671875" style="0" customWidth="1"/>
    <col min="10" max="10" width="14.3359375" style="0" customWidth="1"/>
    <col min="11" max="11" width="12.77734375" style="0" customWidth="1"/>
    <col min="12" max="12" width="12.99609375" style="0" customWidth="1"/>
    <col min="13" max="13" width="11.88671875" style="0" customWidth="1"/>
    <col min="14" max="14" width="18.21484375" style="0" customWidth="1"/>
    <col min="15" max="16" width="17.10546875" style="0" customWidth="1"/>
    <col min="17" max="17" width="7.77734375" style="0" customWidth="1"/>
    <col min="18" max="18" width="14.88671875" style="0" customWidth="1"/>
    <col min="19" max="19" width="10.5546875" style="0" customWidth="1"/>
    <col min="20" max="20" width="7.5546875" style="0" customWidth="1"/>
    <col min="21" max="21" width="13.3359375" style="0" customWidth="1"/>
    <col min="22" max="22" width="12.3359375" style="0" customWidth="1"/>
    <col min="23" max="23" width="11.5546875" style="0" customWidth="1"/>
    <col min="24" max="24" width="12.5546875" style="0" customWidth="1"/>
    <col min="25" max="25" width="12.21484375" style="0" customWidth="1"/>
    <col min="26" max="27" width="10.88671875" style="0" customWidth="1"/>
    <col min="28" max="28" width="15.77734375" style="0" customWidth="1"/>
    <col min="29" max="29" width="18.88671875" style="0" customWidth="1"/>
    <col min="30" max="30" width="12.6640625" style="0" bestFit="1" customWidth="1"/>
  </cols>
  <sheetData>
    <row r="1" spans="1:29" ht="38.25" customHeight="1" thickBot="1">
      <c r="A1" s="1041" t="s">
        <v>434</v>
      </c>
      <c r="B1" s="1041"/>
      <c r="C1" s="1041"/>
      <c r="D1" s="1041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501"/>
      <c r="P1" s="519"/>
      <c r="Q1" s="1041" t="s">
        <v>351</v>
      </c>
      <c r="R1" s="1041"/>
      <c r="S1" s="1041"/>
      <c r="T1" s="1041"/>
      <c r="U1" s="1041"/>
      <c r="V1" s="1041"/>
      <c r="W1" s="1041"/>
      <c r="X1" s="1041"/>
      <c r="Y1" s="1041"/>
      <c r="Z1" s="1041"/>
      <c r="AA1" s="1041"/>
      <c r="AB1" s="1041"/>
      <c r="AC1" s="1041"/>
    </row>
    <row r="2" spans="1:29" ht="30.75" customHeight="1">
      <c r="A2" s="30" t="s">
        <v>352</v>
      </c>
      <c r="B2" s="31" t="s">
        <v>353</v>
      </c>
      <c r="C2" s="31" t="s">
        <v>354</v>
      </c>
      <c r="D2" s="35" t="s">
        <v>355</v>
      </c>
      <c r="E2" s="53" t="s">
        <v>356</v>
      </c>
      <c r="F2" s="31" t="s">
        <v>357</v>
      </c>
      <c r="G2" s="38" t="s">
        <v>358</v>
      </c>
      <c r="H2" s="31" t="s">
        <v>359</v>
      </c>
      <c r="I2" s="31" t="s">
        <v>360</v>
      </c>
      <c r="J2" s="31" t="s">
        <v>361</v>
      </c>
      <c r="K2" s="31" t="s">
        <v>362</v>
      </c>
      <c r="L2" s="31" t="s">
        <v>363</v>
      </c>
      <c r="M2" s="31" t="s">
        <v>364</v>
      </c>
      <c r="N2" s="187" t="s">
        <v>365</v>
      </c>
      <c r="O2" s="369"/>
      <c r="P2" s="552"/>
      <c r="Q2" s="30" t="s">
        <v>352</v>
      </c>
      <c r="R2" s="31" t="s">
        <v>353</v>
      </c>
      <c r="S2" s="31" t="s">
        <v>354</v>
      </c>
      <c r="T2" s="31" t="s">
        <v>355</v>
      </c>
      <c r="U2" s="36" t="s">
        <v>366</v>
      </c>
      <c r="V2" s="36" t="s">
        <v>367</v>
      </c>
      <c r="W2" s="36" t="s">
        <v>368</v>
      </c>
      <c r="X2" s="36" t="s">
        <v>369</v>
      </c>
      <c r="Y2" s="36" t="s">
        <v>370</v>
      </c>
      <c r="Z2" s="36" t="s">
        <v>371</v>
      </c>
      <c r="AA2" s="36" t="s">
        <v>372</v>
      </c>
      <c r="AB2" s="36" t="s">
        <v>373</v>
      </c>
      <c r="AC2" s="50" t="s">
        <v>374</v>
      </c>
    </row>
    <row r="3" spans="1:31" ht="21" customHeight="1">
      <c r="A3" s="564">
        <v>1</v>
      </c>
      <c r="B3" s="560" t="s">
        <v>375</v>
      </c>
      <c r="C3" s="554" t="s">
        <v>376</v>
      </c>
      <c r="D3" s="37">
        <v>10</v>
      </c>
      <c r="E3" s="186">
        <v>2984000</v>
      </c>
      <c r="F3" s="22">
        <v>9</v>
      </c>
      <c r="G3" s="39">
        <f>E3*F3</f>
        <v>26856000</v>
      </c>
      <c r="H3" s="22">
        <f>E3*1.2</f>
        <v>3580800</v>
      </c>
      <c r="I3" s="22">
        <f>200000*F3</f>
        <v>1800000</v>
      </c>
      <c r="J3" s="22">
        <f>ROUNDDOWN((G3*35/209*1.5),-1)</f>
        <v>6746120</v>
      </c>
      <c r="K3" s="22">
        <f>F3*40000</f>
        <v>360000</v>
      </c>
      <c r="L3" s="22">
        <f aca="true" t="shared" si="0" ref="L3:L39">100000*F3</f>
        <v>900000</v>
      </c>
      <c r="M3" s="22">
        <f aca="true" t="shared" si="1" ref="M3:M28">40000*F3</f>
        <v>360000</v>
      </c>
      <c r="N3" s="188">
        <f aca="true" t="shared" si="2" ref="N3:N39">SUM(G3:M3)</f>
        <v>40602920</v>
      </c>
      <c r="O3" s="370">
        <f>N3+N4</f>
        <v>53334000</v>
      </c>
      <c r="P3" s="553">
        <f>SUM(H3:M3)</f>
        <v>13746920</v>
      </c>
      <c r="Q3" s="554" t="s">
        <v>451</v>
      </c>
      <c r="R3" s="554" t="s">
        <v>375</v>
      </c>
      <c r="S3" s="554" t="str">
        <f>Q3</f>
        <v>박세혁</v>
      </c>
      <c r="T3" s="37">
        <v>9</v>
      </c>
      <c r="U3" s="28">
        <f>O3/AE3</f>
        <v>4444500</v>
      </c>
      <c r="V3" s="28">
        <f aca="true" t="shared" si="3" ref="V3:V39">ROUNDDOWN((U3*$E$43),-1)</f>
        <v>131110</v>
      </c>
      <c r="W3" s="28">
        <f aca="true" t="shared" si="4" ref="W3:W39">ROUNDDOWN((V3*$E$44),-1)</f>
        <v>8580</v>
      </c>
      <c r="X3" s="28">
        <f aca="true" t="shared" si="5" ref="X3:X39">ROUNDDOWN((U3*$E$45),-1)</f>
        <v>200000</v>
      </c>
      <c r="Y3" s="28">
        <f>ROUNDDOWN((U3*4.5%/10),-1)</f>
        <v>20000</v>
      </c>
      <c r="Z3" s="28">
        <v>40000</v>
      </c>
      <c r="AA3" s="28">
        <f>ROUNDDOWN((U3*0.01),-1)</f>
        <v>44440</v>
      </c>
      <c r="AB3" s="28">
        <f>SUM(V3:AA3)</f>
        <v>444130</v>
      </c>
      <c r="AC3" s="52">
        <f>U3-AB3</f>
        <v>4000370</v>
      </c>
      <c r="AD3" s="253">
        <f>AB3*AE3</f>
        <v>5329560</v>
      </c>
      <c r="AE3">
        <v>12</v>
      </c>
    </row>
    <row r="4" spans="1:31" ht="21" customHeight="1">
      <c r="A4" s="565"/>
      <c r="B4" s="561"/>
      <c r="C4" s="555"/>
      <c r="D4" s="37">
        <v>11</v>
      </c>
      <c r="E4" s="186">
        <v>3088000</v>
      </c>
      <c r="F4" s="22">
        <v>3</v>
      </c>
      <c r="G4" s="39">
        <f aca="true" t="shared" si="6" ref="G4:G39">E4*F4</f>
        <v>9264000</v>
      </c>
      <c r="H4" s="22"/>
      <c r="I4" s="22">
        <f>200000*F4</f>
        <v>600000</v>
      </c>
      <c r="J4" s="22">
        <f aca="true" t="shared" si="7" ref="J4:J8">ROUNDDOWN((G4*35/209*1.5),-1)</f>
        <v>2327080</v>
      </c>
      <c r="K4" s="22">
        <f>F4*40000</f>
        <v>120000</v>
      </c>
      <c r="L4" s="22">
        <f t="shared" si="0"/>
        <v>300000</v>
      </c>
      <c r="M4" s="22">
        <f t="shared" si="1"/>
        <v>120000</v>
      </c>
      <c r="N4" s="188">
        <f t="shared" si="2"/>
        <v>12731080</v>
      </c>
      <c r="O4" s="370"/>
      <c r="P4" s="553">
        <f aca="true" t="shared" si="8" ref="P4:P39">SUM(H4:M4)</f>
        <v>3467080</v>
      </c>
      <c r="Q4" s="555"/>
      <c r="R4" s="555"/>
      <c r="S4" s="554">
        <f aca="true" t="shared" si="9" ref="S4:S39">Q4</f>
        <v>0</v>
      </c>
      <c r="T4" s="37">
        <v>10</v>
      </c>
      <c r="U4" s="28">
        <f aca="true" t="shared" si="10" ref="U4:U39">O4/AE4</f>
        <v>0</v>
      </c>
      <c r="V4" s="28">
        <f t="shared" si="3"/>
        <v>0</v>
      </c>
      <c r="W4" s="28">
        <f t="shared" si="4"/>
        <v>0</v>
      </c>
      <c r="X4" s="28">
        <f t="shared" si="5"/>
        <v>0</v>
      </c>
      <c r="Y4" s="28"/>
      <c r="Z4" s="28"/>
      <c r="AA4" s="28"/>
      <c r="AB4" s="28"/>
      <c r="AC4" s="52"/>
      <c r="AD4" s="253">
        <f aca="true" t="shared" si="11" ref="AD4:AD39">AB4*AE4</f>
        <v>0</v>
      </c>
      <c r="AE4">
        <v>12</v>
      </c>
    </row>
    <row r="5" spans="1:31" ht="21" customHeight="1">
      <c r="A5" s="564">
        <v>2</v>
      </c>
      <c r="B5" s="560" t="s">
        <v>454</v>
      </c>
      <c r="C5" s="554" t="s">
        <v>378</v>
      </c>
      <c r="D5" s="37">
        <v>15</v>
      </c>
      <c r="E5" s="186">
        <v>3076000</v>
      </c>
      <c r="F5" s="22">
        <v>3</v>
      </c>
      <c r="G5" s="39">
        <f t="shared" si="6"/>
        <v>9228000</v>
      </c>
      <c r="H5" s="22">
        <f aca="true" t="shared" si="12" ref="H5:H10">E5*0.6</f>
        <v>1845600</v>
      </c>
      <c r="I5" s="22">
        <f>100000*F5</f>
        <v>300000</v>
      </c>
      <c r="J5" s="22">
        <f t="shared" si="7"/>
        <v>2318030</v>
      </c>
      <c r="K5" s="22">
        <f>F5*80000</f>
        <v>240000</v>
      </c>
      <c r="L5" s="22">
        <f t="shared" si="0"/>
        <v>300000</v>
      </c>
      <c r="M5" s="22">
        <f t="shared" si="1"/>
        <v>120000</v>
      </c>
      <c r="N5" s="188">
        <f t="shared" si="2"/>
        <v>14351630</v>
      </c>
      <c r="O5" s="370">
        <f>N5+N6</f>
        <v>54450710</v>
      </c>
      <c r="P5" s="553">
        <f t="shared" si="8"/>
        <v>5123630</v>
      </c>
      <c r="Q5" s="554" t="s">
        <v>378</v>
      </c>
      <c r="R5" s="554" t="s">
        <v>377</v>
      </c>
      <c r="S5" s="554" t="str">
        <f t="shared" si="9"/>
        <v>김춘희</v>
      </c>
      <c r="T5" s="37">
        <v>14</v>
      </c>
      <c r="U5" s="28">
        <f t="shared" si="10"/>
        <v>4537559.166666667</v>
      </c>
      <c r="V5" s="28">
        <f t="shared" si="3"/>
        <v>133850</v>
      </c>
      <c r="W5" s="28">
        <f t="shared" si="4"/>
        <v>8760</v>
      </c>
      <c r="X5" s="28">
        <f t="shared" si="5"/>
        <v>204190</v>
      </c>
      <c r="Y5" s="28">
        <f aca="true" t="shared" si="13" ref="Y5:Y39">ROUNDDOWN((U5*4.5%/10),-1)</f>
        <v>20410</v>
      </c>
      <c r="Z5" s="28">
        <v>40000</v>
      </c>
      <c r="AA5" s="28">
        <f aca="true" t="shared" si="14" ref="AA5:AA39">ROUNDDOWN((U5*0.01),-1)</f>
        <v>45370</v>
      </c>
      <c r="AB5" s="28">
        <f aca="true" t="shared" si="15" ref="AB5:AB39">SUM(V5:AA5)</f>
        <v>452580</v>
      </c>
      <c r="AC5" s="52">
        <f aca="true" t="shared" si="16" ref="AC5:AC39">U5-AB5</f>
        <v>4084979.166666667</v>
      </c>
      <c r="AD5" s="253">
        <f t="shared" si="11"/>
        <v>5430960</v>
      </c>
      <c r="AE5">
        <v>12</v>
      </c>
    </row>
    <row r="6" spans="1:31" ht="21" customHeight="1">
      <c r="A6" s="565"/>
      <c r="B6" s="561"/>
      <c r="C6" s="555"/>
      <c r="D6" s="37">
        <v>16</v>
      </c>
      <c r="E6" s="186">
        <v>3138000</v>
      </c>
      <c r="F6" s="22">
        <v>9</v>
      </c>
      <c r="G6" s="39">
        <f t="shared" si="6"/>
        <v>28242000</v>
      </c>
      <c r="H6" s="22">
        <f t="shared" si="12"/>
        <v>1882800</v>
      </c>
      <c r="I6" s="22">
        <f>100000*F6</f>
        <v>900000</v>
      </c>
      <c r="J6" s="22">
        <f t="shared" si="7"/>
        <v>7094280</v>
      </c>
      <c r="K6" s="22">
        <f>F6*80000</f>
        <v>720000</v>
      </c>
      <c r="L6" s="22">
        <f t="shared" si="0"/>
        <v>900000</v>
      </c>
      <c r="M6" s="22">
        <f t="shared" si="1"/>
        <v>360000</v>
      </c>
      <c r="N6" s="188">
        <f t="shared" si="2"/>
        <v>40099080</v>
      </c>
      <c r="O6" s="370"/>
      <c r="P6" s="553">
        <f t="shared" si="8"/>
        <v>11857080</v>
      </c>
      <c r="Q6" s="555"/>
      <c r="R6" s="555"/>
      <c r="S6" s="554">
        <f t="shared" si="9"/>
        <v>0</v>
      </c>
      <c r="T6" s="37">
        <v>15</v>
      </c>
      <c r="U6" s="28">
        <f t="shared" si="10"/>
        <v>0</v>
      </c>
      <c r="V6" s="28">
        <f t="shared" si="3"/>
        <v>0</v>
      </c>
      <c r="W6" s="28">
        <f t="shared" si="4"/>
        <v>0</v>
      </c>
      <c r="X6" s="28">
        <f t="shared" si="5"/>
        <v>0</v>
      </c>
      <c r="Y6" s="28"/>
      <c r="Z6" s="28"/>
      <c r="AA6" s="28"/>
      <c r="AB6" s="28"/>
      <c r="AC6" s="52"/>
      <c r="AD6" s="253">
        <f t="shared" si="11"/>
        <v>0</v>
      </c>
      <c r="AE6">
        <v>12</v>
      </c>
    </row>
    <row r="7" spans="1:31" ht="21" customHeight="1">
      <c r="A7" s="564">
        <v>3</v>
      </c>
      <c r="B7" s="560" t="s">
        <v>377</v>
      </c>
      <c r="C7" s="556" t="s">
        <v>379</v>
      </c>
      <c r="D7" s="279">
        <v>8</v>
      </c>
      <c r="E7" s="280">
        <v>2260000</v>
      </c>
      <c r="F7" s="281">
        <v>9</v>
      </c>
      <c r="G7" s="282">
        <f t="shared" si="6"/>
        <v>20340000</v>
      </c>
      <c r="H7" s="22">
        <f>E7*1.2</f>
        <v>2712000</v>
      </c>
      <c r="I7" s="281"/>
      <c r="J7" s="22">
        <f t="shared" si="7"/>
        <v>5109330</v>
      </c>
      <c r="K7" s="22">
        <f>F7*60000</f>
        <v>540000</v>
      </c>
      <c r="L7" s="22">
        <f t="shared" si="0"/>
        <v>900000</v>
      </c>
      <c r="M7" s="281">
        <f t="shared" si="1"/>
        <v>360000</v>
      </c>
      <c r="N7" s="283">
        <f t="shared" si="2"/>
        <v>29961330</v>
      </c>
      <c r="O7" s="370">
        <f>N7+N8</f>
        <v>39389770</v>
      </c>
      <c r="P7" s="553">
        <f t="shared" si="8"/>
        <v>9621330</v>
      </c>
      <c r="Q7" s="556" t="s">
        <v>379</v>
      </c>
      <c r="R7" s="554" t="s">
        <v>377</v>
      </c>
      <c r="S7" s="554" t="str">
        <f t="shared" si="9"/>
        <v>전상현</v>
      </c>
      <c r="T7" s="279">
        <v>7</v>
      </c>
      <c r="U7" s="28">
        <f t="shared" si="10"/>
        <v>3282480.8333333335</v>
      </c>
      <c r="V7" s="28">
        <f t="shared" si="3"/>
        <v>96830</v>
      </c>
      <c r="W7" s="28">
        <f t="shared" si="4"/>
        <v>6340</v>
      </c>
      <c r="X7" s="28">
        <f t="shared" si="5"/>
        <v>147710</v>
      </c>
      <c r="Y7" s="28">
        <f aca="true" t="shared" si="17" ref="Y7">ROUNDDOWN((U7*4.5%/10),-1)</f>
        <v>14770</v>
      </c>
      <c r="Z7" s="28">
        <v>40000</v>
      </c>
      <c r="AA7" s="28">
        <f aca="true" t="shared" si="18" ref="AA7">ROUNDDOWN((U7*0.01),-1)</f>
        <v>32820</v>
      </c>
      <c r="AB7" s="28">
        <f aca="true" t="shared" si="19" ref="AB7">SUM(V7:AA7)</f>
        <v>338470</v>
      </c>
      <c r="AC7" s="52">
        <f t="shared" si="16"/>
        <v>2944010.8333333335</v>
      </c>
      <c r="AD7" s="253">
        <f t="shared" si="11"/>
        <v>4061640</v>
      </c>
      <c r="AE7">
        <v>12</v>
      </c>
    </row>
    <row r="8" spans="1:31" ht="21" customHeight="1">
      <c r="A8" s="565"/>
      <c r="B8" s="561"/>
      <c r="C8" s="557"/>
      <c r="D8" s="279">
        <v>9</v>
      </c>
      <c r="E8" s="280">
        <v>2352000</v>
      </c>
      <c r="F8" s="281">
        <v>3</v>
      </c>
      <c r="G8" s="282">
        <f t="shared" si="6"/>
        <v>7056000</v>
      </c>
      <c r="H8" s="22"/>
      <c r="I8" s="281"/>
      <c r="J8" s="22">
        <f t="shared" si="7"/>
        <v>1772440</v>
      </c>
      <c r="K8" s="22">
        <f>F8*60000</f>
        <v>180000</v>
      </c>
      <c r="L8" s="22">
        <f t="shared" si="0"/>
        <v>300000</v>
      </c>
      <c r="M8" s="281">
        <f t="shared" si="1"/>
        <v>120000</v>
      </c>
      <c r="N8" s="283">
        <f t="shared" si="2"/>
        <v>9428440</v>
      </c>
      <c r="O8" s="370"/>
      <c r="P8" s="553">
        <f t="shared" si="8"/>
        <v>2372440</v>
      </c>
      <c r="Q8" s="557"/>
      <c r="R8" s="555"/>
      <c r="S8" s="554">
        <f t="shared" si="9"/>
        <v>0</v>
      </c>
      <c r="T8" s="279">
        <v>8</v>
      </c>
      <c r="U8" s="28">
        <f t="shared" si="10"/>
        <v>0</v>
      </c>
      <c r="V8" s="28">
        <f t="shared" si="3"/>
        <v>0</v>
      </c>
      <c r="W8" s="28">
        <f t="shared" si="4"/>
        <v>0</v>
      </c>
      <c r="X8" s="28">
        <f t="shared" si="5"/>
        <v>0</v>
      </c>
      <c r="Y8" s="28">
        <f t="shared" si="13"/>
        <v>0</v>
      </c>
      <c r="Z8" s="28"/>
      <c r="AA8" s="28"/>
      <c r="AB8" s="28"/>
      <c r="AC8" s="52"/>
      <c r="AD8" s="253">
        <f t="shared" si="11"/>
        <v>0</v>
      </c>
      <c r="AE8">
        <v>12</v>
      </c>
    </row>
    <row r="9" spans="1:31" ht="21" customHeight="1">
      <c r="A9" s="528">
        <v>4</v>
      </c>
      <c r="B9" s="529" t="s">
        <v>380</v>
      </c>
      <c r="C9" s="530" t="s">
        <v>381</v>
      </c>
      <c r="D9" s="285">
        <v>4</v>
      </c>
      <c r="E9" s="286">
        <v>1704000</v>
      </c>
      <c r="F9" s="284">
        <v>6</v>
      </c>
      <c r="G9" s="287">
        <f t="shared" si="6"/>
        <v>10224000</v>
      </c>
      <c r="H9" s="284">
        <f t="shared" si="12"/>
        <v>1022400</v>
      </c>
      <c r="I9" s="284"/>
      <c r="J9" s="284">
        <f>ROUNDDOWN((G9*55/209*1.5),-1)</f>
        <v>4035780</v>
      </c>
      <c r="K9" s="284">
        <f>F9*40000</f>
        <v>240000</v>
      </c>
      <c r="L9" s="284">
        <f t="shared" si="0"/>
        <v>600000</v>
      </c>
      <c r="M9" s="284">
        <f t="shared" si="1"/>
        <v>240000</v>
      </c>
      <c r="N9" s="306">
        <f t="shared" si="2"/>
        <v>16362180</v>
      </c>
      <c r="O9" s="370">
        <f>N9+N10</f>
        <v>33181750</v>
      </c>
      <c r="P9" s="553">
        <f t="shared" si="8"/>
        <v>6138180</v>
      </c>
      <c r="Q9" s="530" t="s">
        <v>381</v>
      </c>
      <c r="R9" s="530" t="s">
        <v>380</v>
      </c>
      <c r="S9" s="554" t="str">
        <f t="shared" si="9"/>
        <v>이원영</v>
      </c>
      <c r="T9" s="285">
        <v>3</v>
      </c>
      <c r="U9" s="28">
        <f t="shared" si="10"/>
        <v>2765145.8333333335</v>
      </c>
      <c r="V9" s="28">
        <f t="shared" si="3"/>
        <v>81570</v>
      </c>
      <c r="W9" s="28">
        <f t="shared" si="4"/>
        <v>5340</v>
      </c>
      <c r="X9" s="28">
        <f t="shared" si="5"/>
        <v>124430</v>
      </c>
      <c r="Y9" s="28">
        <f>ROUNDDOWN((U9*4.5%/10),-1)</f>
        <v>12440</v>
      </c>
      <c r="Z9" s="28">
        <v>40000</v>
      </c>
      <c r="AA9" s="28">
        <f>ROUNDDOWN((U9*0.01),-1)</f>
        <v>27650</v>
      </c>
      <c r="AB9" s="28">
        <f>SUM(V9:AA9)</f>
        <v>291430</v>
      </c>
      <c r="AC9" s="52">
        <f t="shared" si="16"/>
        <v>2473715.8333333335</v>
      </c>
      <c r="AD9" s="253">
        <f t="shared" si="11"/>
        <v>3497160</v>
      </c>
      <c r="AE9">
        <v>12</v>
      </c>
    </row>
    <row r="10" spans="1:31" ht="21" customHeight="1">
      <c r="A10" s="532"/>
      <c r="B10" s="533"/>
      <c r="C10" s="531"/>
      <c r="D10" s="285">
        <v>5</v>
      </c>
      <c r="E10" s="286">
        <v>1755000</v>
      </c>
      <c r="F10" s="284">
        <v>6</v>
      </c>
      <c r="G10" s="287">
        <f t="shared" si="6"/>
        <v>10530000</v>
      </c>
      <c r="H10" s="284">
        <f t="shared" si="12"/>
        <v>1053000</v>
      </c>
      <c r="I10" s="284"/>
      <c r="J10" s="284">
        <f aca="true" t="shared" si="20" ref="J10:J26">ROUNDDOWN((G10*55/209*1.5),-1)</f>
        <v>4156570</v>
      </c>
      <c r="K10" s="284">
        <f>F10*40000</f>
        <v>240000</v>
      </c>
      <c r="L10" s="284">
        <f t="shared" si="0"/>
        <v>600000</v>
      </c>
      <c r="M10" s="284">
        <f t="shared" si="1"/>
        <v>240000</v>
      </c>
      <c r="N10" s="306">
        <f t="shared" si="2"/>
        <v>16819570</v>
      </c>
      <c r="O10" s="807"/>
      <c r="P10" s="553">
        <f t="shared" si="8"/>
        <v>6289570</v>
      </c>
      <c r="Q10" s="531"/>
      <c r="R10" s="531"/>
      <c r="S10" s="554">
        <f t="shared" si="9"/>
        <v>0</v>
      </c>
      <c r="T10" s="285">
        <v>4</v>
      </c>
      <c r="U10" s="28">
        <f t="shared" si="10"/>
        <v>0</v>
      </c>
      <c r="V10" s="28">
        <f t="shared" si="3"/>
        <v>0</v>
      </c>
      <c r="W10" s="28">
        <f t="shared" si="4"/>
        <v>0</v>
      </c>
      <c r="X10" s="28">
        <f t="shared" si="5"/>
        <v>0</v>
      </c>
      <c r="Y10" s="28">
        <f>ROUNDDOWN((U10*4.5%/10),-1)</f>
        <v>0</v>
      </c>
      <c r="AA10" s="28">
        <f>ROUNDDOWN((U10*0.01),-1)</f>
        <v>0</v>
      </c>
      <c r="AB10" s="28">
        <f>SUM(V10:AA10)</f>
        <v>0</v>
      </c>
      <c r="AC10" s="52"/>
      <c r="AD10" s="253">
        <f t="shared" si="11"/>
        <v>0</v>
      </c>
      <c r="AE10">
        <v>12</v>
      </c>
    </row>
    <row r="11" spans="1:31" ht="21" customHeight="1">
      <c r="A11" s="516">
        <v>5</v>
      </c>
      <c r="B11" s="517" t="s">
        <v>380</v>
      </c>
      <c r="C11" s="515" t="s">
        <v>382</v>
      </c>
      <c r="D11" s="285">
        <v>11</v>
      </c>
      <c r="E11" s="286">
        <v>2134000</v>
      </c>
      <c r="F11" s="284">
        <v>12</v>
      </c>
      <c r="G11" s="287">
        <f t="shared" si="6"/>
        <v>25608000</v>
      </c>
      <c r="H11" s="284">
        <f>E11*1.2</f>
        <v>2560800</v>
      </c>
      <c r="I11" s="284"/>
      <c r="J11" s="284">
        <f t="shared" si="20"/>
        <v>10108420</v>
      </c>
      <c r="K11" s="284">
        <f>F11*80000</f>
        <v>960000</v>
      </c>
      <c r="L11" s="284">
        <f t="shared" si="0"/>
        <v>1200000</v>
      </c>
      <c r="M11" s="284">
        <f t="shared" si="1"/>
        <v>480000</v>
      </c>
      <c r="N11" s="306">
        <f t="shared" si="2"/>
        <v>40917220</v>
      </c>
      <c r="O11" s="370">
        <f>N11</f>
        <v>40917220</v>
      </c>
      <c r="P11" s="553">
        <f t="shared" si="8"/>
        <v>15309220</v>
      </c>
      <c r="Q11" s="515" t="s">
        <v>382</v>
      </c>
      <c r="R11" s="515" t="s">
        <v>380</v>
      </c>
      <c r="S11" s="554" t="str">
        <f t="shared" si="9"/>
        <v>김계주</v>
      </c>
      <c r="T11" s="285">
        <v>10</v>
      </c>
      <c r="U11" s="28">
        <f t="shared" si="10"/>
        <v>3409768.3333333335</v>
      </c>
      <c r="V11" s="28">
        <f t="shared" si="3"/>
        <v>100580</v>
      </c>
      <c r="W11" s="28">
        <f t="shared" si="4"/>
        <v>6580</v>
      </c>
      <c r="X11" s="28">
        <f t="shared" si="5"/>
        <v>153430</v>
      </c>
      <c r="Y11" s="28">
        <f>ROUNDDOWN((U11*4.5%/10),-1)</f>
        <v>15340</v>
      </c>
      <c r="Z11" s="28">
        <v>40000</v>
      </c>
      <c r="AA11" s="28">
        <f>ROUNDDOWN((U11*0.01),-1)</f>
        <v>34090</v>
      </c>
      <c r="AB11" s="28">
        <f>SUM(V11:AA11)</f>
        <v>350020</v>
      </c>
      <c r="AC11" s="52"/>
      <c r="AD11" s="253">
        <f t="shared" si="11"/>
        <v>4200240</v>
      </c>
      <c r="AE11">
        <v>12</v>
      </c>
    </row>
    <row r="12" spans="1:31" ht="21" customHeight="1">
      <c r="A12" s="528">
        <v>6</v>
      </c>
      <c r="B12" s="529" t="s">
        <v>380</v>
      </c>
      <c r="C12" s="530" t="s">
        <v>383</v>
      </c>
      <c r="D12" s="285">
        <v>4</v>
      </c>
      <c r="E12" s="286">
        <v>1704000</v>
      </c>
      <c r="F12" s="284">
        <v>3</v>
      </c>
      <c r="G12" s="287">
        <f t="shared" si="6"/>
        <v>5112000</v>
      </c>
      <c r="H12" s="284">
        <f>E12*0.6</f>
        <v>1022400</v>
      </c>
      <c r="I12" s="284"/>
      <c r="J12" s="284">
        <f t="shared" si="20"/>
        <v>2017890</v>
      </c>
      <c r="K12" s="284"/>
      <c r="L12" s="284">
        <f t="shared" si="0"/>
        <v>300000</v>
      </c>
      <c r="M12" s="284">
        <f t="shared" si="1"/>
        <v>120000</v>
      </c>
      <c r="N12" s="306">
        <f t="shared" si="2"/>
        <v>8572290</v>
      </c>
      <c r="O12" s="370">
        <f>N12+N13</f>
        <v>32915150</v>
      </c>
      <c r="P12" s="553">
        <f t="shared" si="8"/>
        <v>3460290</v>
      </c>
      <c r="Q12" s="530" t="s">
        <v>383</v>
      </c>
      <c r="R12" s="530" t="s">
        <v>380</v>
      </c>
      <c r="S12" s="554" t="str">
        <f t="shared" si="9"/>
        <v>김극진</v>
      </c>
      <c r="T12" s="285">
        <v>3</v>
      </c>
      <c r="U12" s="28">
        <f t="shared" si="10"/>
        <v>2742929.1666666665</v>
      </c>
      <c r="V12" s="28">
        <f t="shared" si="3"/>
        <v>80910</v>
      </c>
      <c r="W12" s="28">
        <f t="shared" si="4"/>
        <v>5290</v>
      </c>
      <c r="X12" s="28">
        <f t="shared" si="5"/>
        <v>123430</v>
      </c>
      <c r="Y12" s="28">
        <f t="shared" si="13"/>
        <v>12340</v>
      </c>
      <c r="Z12" s="28">
        <v>40000</v>
      </c>
      <c r="AA12" s="28">
        <f t="shared" si="14"/>
        <v>27420</v>
      </c>
      <c r="AB12" s="28">
        <f t="shared" si="15"/>
        <v>289390</v>
      </c>
      <c r="AC12" s="52">
        <f t="shared" si="16"/>
        <v>2453539.1666666665</v>
      </c>
      <c r="AD12" s="253">
        <f t="shared" si="11"/>
        <v>3472680</v>
      </c>
      <c r="AE12">
        <v>12</v>
      </c>
    </row>
    <row r="13" spans="1:31" ht="21" customHeight="1">
      <c r="A13" s="532"/>
      <c r="B13" s="533"/>
      <c r="C13" s="531"/>
      <c r="D13" s="285">
        <v>5</v>
      </c>
      <c r="E13" s="286">
        <v>1755000</v>
      </c>
      <c r="F13" s="284">
        <v>9</v>
      </c>
      <c r="G13" s="287">
        <f t="shared" si="6"/>
        <v>15795000</v>
      </c>
      <c r="H13" s="284">
        <f aca="true" t="shared" si="21" ref="H13">E13*0.6</f>
        <v>1053000</v>
      </c>
      <c r="I13" s="284"/>
      <c r="J13" s="284">
        <f t="shared" si="20"/>
        <v>6234860</v>
      </c>
      <c r="K13" s="284"/>
      <c r="L13" s="284">
        <f t="shared" si="0"/>
        <v>900000</v>
      </c>
      <c r="M13" s="284">
        <f t="shared" si="1"/>
        <v>360000</v>
      </c>
      <c r="N13" s="306">
        <f t="shared" si="2"/>
        <v>24342860</v>
      </c>
      <c r="O13" s="371"/>
      <c r="P13" s="553">
        <f t="shared" si="8"/>
        <v>8547860</v>
      </c>
      <c r="Q13" s="531"/>
      <c r="R13" s="531"/>
      <c r="S13" s="554">
        <f t="shared" si="9"/>
        <v>0</v>
      </c>
      <c r="T13" s="285">
        <v>4</v>
      </c>
      <c r="U13" s="28">
        <f t="shared" si="10"/>
        <v>0</v>
      </c>
      <c r="V13" s="28">
        <f t="shared" si="3"/>
        <v>0</v>
      </c>
      <c r="W13" s="28">
        <f t="shared" si="4"/>
        <v>0</v>
      </c>
      <c r="X13" s="28">
        <f t="shared" si="5"/>
        <v>0</v>
      </c>
      <c r="Y13" s="28"/>
      <c r="Z13" s="28"/>
      <c r="AA13" s="28"/>
      <c r="AB13" s="28"/>
      <c r="AC13" s="52"/>
      <c r="AD13" s="253">
        <f t="shared" si="11"/>
        <v>0</v>
      </c>
      <c r="AE13">
        <v>12</v>
      </c>
    </row>
    <row r="14" spans="1:31" ht="21" customHeight="1">
      <c r="A14" s="528">
        <v>7</v>
      </c>
      <c r="B14" s="529" t="s">
        <v>380</v>
      </c>
      <c r="C14" s="530" t="s">
        <v>384</v>
      </c>
      <c r="D14" s="285">
        <v>4</v>
      </c>
      <c r="E14" s="286">
        <v>1704000</v>
      </c>
      <c r="F14" s="284">
        <v>9</v>
      </c>
      <c r="G14" s="287">
        <f t="shared" si="6"/>
        <v>15336000</v>
      </c>
      <c r="H14" s="284">
        <f>E14*1.2</f>
        <v>2044800</v>
      </c>
      <c r="I14" s="284"/>
      <c r="J14" s="284">
        <f t="shared" si="20"/>
        <v>6053680</v>
      </c>
      <c r="K14" s="284"/>
      <c r="L14" s="284">
        <f t="shared" si="0"/>
        <v>900000</v>
      </c>
      <c r="M14" s="284">
        <f t="shared" si="1"/>
        <v>360000</v>
      </c>
      <c r="N14" s="306">
        <f t="shared" si="2"/>
        <v>24694480</v>
      </c>
      <c r="O14" s="370">
        <f>N14+N15</f>
        <v>32457760</v>
      </c>
      <c r="P14" s="553">
        <f t="shared" si="8"/>
        <v>9358480</v>
      </c>
      <c r="Q14" s="530" t="s">
        <v>384</v>
      </c>
      <c r="R14" s="530" t="s">
        <v>380</v>
      </c>
      <c r="S14" s="554" t="str">
        <f t="shared" si="9"/>
        <v>김세현</v>
      </c>
      <c r="T14" s="285">
        <v>3</v>
      </c>
      <c r="U14" s="28">
        <f t="shared" si="10"/>
        <v>2704813.3333333335</v>
      </c>
      <c r="V14" s="28">
        <f t="shared" si="3"/>
        <v>79790</v>
      </c>
      <c r="W14" s="28">
        <f t="shared" si="4"/>
        <v>5220</v>
      </c>
      <c r="X14" s="28">
        <f t="shared" si="5"/>
        <v>121710</v>
      </c>
      <c r="Y14" s="28">
        <f aca="true" t="shared" si="22" ref="Y14">ROUNDDOWN((U14*4.5%/10),-1)</f>
        <v>12170</v>
      </c>
      <c r="Z14" s="28">
        <v>40000</v>
      </c>
      <c r="AA14" s="28">
        <f aca="true" t="shared" si="23" ref="AA14">ROUNDDOWN((U14*0.01),-1)</f>
        <v>27040</v>
      </c>
      <c r="AB14" s="28">
        <f aca="true" t="shared" si="24" ref="AB14">SUM(V14:AA14)</f>
        <v>285930</v>
      </c>
      <c r="AC14" s="52">
        <f aca="true" t="shared" si="25" ref="AC14">U14-AB14</f>
        <v>2418883.3333333335</v>
      </c>
      <c r="AD14" s="253">
        <f t="shared" si="11"/>
        <v>3431160</v>
      </c>
      <c r="AE14">
        <v>12</v>
      </c>
    </row>
    <row r="15" spans="1:31" ht="21" customHeight="1">
      <c r="A15" s="532"/>
      <c r="B15" s="533"/>
      <c r="C15" s="531"/>
      <c r="D15" s="285">
        <v>5</v>
      </c>
      <c r="E15" s="286">
        <v>1755000</v>
      </c>
      <c r="F15" s="284">
        <v>3</v>
      </c>
      <c r="G15" s="287">
        <f t="shared" si="6"/>
        <v>5265000</v>
      </c>
      <c r="H15" s="284"/>
      <c r="I15" s="284"/>
      <c r="J15" s="284">
        <f t="shared" si="20"/>
        <v>2078280</v>
      </c>
      <c r="K15" s="284"/>
      <c r="L15" s="284">
        <f t="shared" si="0"/>
        <v>300000</v>
      </c>
      <c r="M15" s="284">
        <f t="shared" si="1"/>
        <v>120000</v>
      </c>
      <c r="N15" s="306">
        <f t="shared" si="2"/>
        <v>7763280</v>
      </c>
      <c r="O15" s="371"/>
      <c r="P15" s="553">
        <f t="shared" si="8"/>
        <v>2498280</v>
      </c>
      <c r="Q15" s="531"/>
      <c r="R15" s="531"/>
      <c r="S15" s="554">
        <f t="shared" si="9"/>
        <v>0</v>
      </c>
      <c r="T15" s="285">
        <v>4</v>
      </c>
      <c r="U15" s="28">
        <f t="shared" si="10"/>
        <v>0</v>
      </c>
      <c r="V15" s="28">
        <f t="shared" si="3"/>
        <v>0</v>
      </c>
      <c r="W15" s="28">
        <f t="shared" si="4"/>
        <v>0</v>
      </c>
      <c r="X15" s="28">
        <f t="shared" si="5"/>
        <v>0</v>
      </c>
      <c r="Y15" s="28"/>
      <c r="Z15" s="28"/>
      <c r="AA15" s="28"/>
      <c r="AB15" s="28"/>
      <c r="AC15" s="52"/>
      <c r="AD15" s="253">
        <f t="shared" si="11"/>
        <v>0</v>
      </c>
      <c r="AE15">
        <v>12</v>
      </c>
    </row>
    <row r="16" spans="1:31" ht="21" customHeight="1">
      <c r="A16" s="528">
        <v>8</v>
      </c>
      <c r="B16" s="529" t="s">
        <v>380</v>
      </c>
      <c r="C16" s="530" t="s">
        <v>385</v>
      </c>
      <c r="D16" s="285">
        <v>4</v>
      </c>
      <c r="E16" s="286">
        <v>1704000</v>
      </c>
      <c r="F16" s="284">
        <v>9</v>
      </c>
      <c r="G16" s="287">
        <f t="shared" si="6"/>
        <v>15336000</v>
      </c>
      <c r="H16" s="284">
        <f>E16*1.2</f>
        <v>2044800</v>
      </c>
      <c r="I16" s="284"/>
      <c r="J16" s="284">
        <f t="shared" si="20"/>
        <v>6053680</v>
      </c>
      <c r="K16" s="284"/>
      <c r="L16" s="284">
        <f t="shared" si="0"/>
        <v>900000</v>
      </c>
      <c r="M16" s="284">
        <f t="shared" si="1"/>
        <v>360000</v>
      </c>
      <c r="N16" s="306">
        <f aca="true" t="shared" si="26" ref="N16:N17">SUM(G16:M16)</f>
        <v>24694480</v>
      </c>
      <c r="O16" s="370">
        <f>N16+N17</f>
        <v>32457760</v>
      </c>
      <c r="P16" s="553">
        <f t="shared" si="8"/>
        <v>9358480</v>
      </c>
      <c r="Q16" s="530" t="s">
        <v>385</v>
      </c>
      <c r="R16" s="530" t="s">
        <v>380</v>
      </c>
      <c r="S16" s="554" t="str">
        <f t="shared" si="9"/>
        <v>이종영</v>
      </c>
      <c r="T16" s="285">
        <v>3</v>
      </c>
      <c r="U16" s="28">
        <f t="shared" si="10"/>
        <v>2704813.3333333335</v>
      </c>
      <c r="V16" s="28">
        <f t="shared" si="3"/>
        <v>79790</v>
      </c>
      <c r="W16" s="28">
        <f t="shared" si="4"/>
        <v>5220</v>
      </c>
      <c r="X16" s="28">
        <f t="shared" si="5"/>
        <v>121710</v>
      </c>
      <c r="Y16" s="28">
        <f aca="true" t="shared" si="27" ref="Y16">ROUNDDOWN((U16*4.5%/10),-1)</f>
        <v>12170</v>
      </c>
      <c r="Z16" s="28">
        <v>40000</v>
      </c>
      <c r="AA16" s="28">
        <f aca="true" t="shared" si="28" ref="AA16">ROUNDDOWN((U16*0.01),-1)</f>
        <v>27040</v>
      </c>
      <c r="AB16" s="28">
        <f aca="true" t="shared" si="29" ref="AB16">SUM(V16:AA16)</f>
        <v>285930</v>
      </c>
      <c r="AC16" s="52">
        <f aca="true" t="shared" si="30" ref="AC16">U16-AB16</f>
        <v>2418883.3333333335</v>
      </c>
      <c r="AD16" s="253">
        <f t="shared" si="11"/>
        <v>3431160</v>
      </c>
      <c r="AE16">
        <v>12</v>
      </c>
    </row>
    <row r="17" spans="1:31" ht="21" customHeight="1">
      <c r="A17" s="532"/>
      <c r="B17" s="533"/>
      <c r="C17" s="531"/>
      <c r="D17" s="285">
        <v>5</v>
      </c>
      <c r="E17" s="286">
        <v>1755000</v>
      </c>
      <c r="F17" s="284">
        <v>3</v>
      </c>
      <c r="G17" s="287">
        <f t="shared" si="6"/>
        <v>5265000</v>
      </c>
      <c r="H17" s="284"/>
      <c r="I17" s="284"/>
      <c r="J17" s="284">
        <f t="shared" si="20"/>
        <v>2078280</v>
      </c>
      <c r="K17" s="284"/>
      <c r="L17" s="284">
        <f t="shared" si="0"/>
        <v>300000</v>
      </c>
      <c r="M17" s="284">
        <f t="shared" si="1"/>
        <v>120000</v>
      </c>
      <c r="N17" s="306">
        <f t="shared" si="26"/>
        <v>7763280</v>
      </c>
      <c r="O17" s="371"/>
      <c r="P17" s="553">
        <f t="shared" si="8"/>
        <v>2498280</v>
      </c>
      <c r="Q17" s="531"/>
      <c r="R17" s="531"/>
      <c r="S17" s="554">
        <f t="shared" si="9"/>
        <v>0</v>
      </c>
      <c r="T17" s="285">
        <v>4</v>
      </c>
      <c r="U17" s="28">
        <f t="shared" si="10"/>
        <v>0</v>
      </c>
      <c r="V17" s="28">
        <f t="shared" si="3"/>
        <v>0</v>
      </c>
      <c r="W17" s="28">
        <f t="shared" si="4"/>
        <v>0</v>
      </c>
      <c r="X17" s="28">
        <f t="shared" si="5"/>
        <v>0</v>
      </c>
      <c r="Y17" s="28"/>
      <c r="Z17" s="28"/>
      <c r="AA17" s="28"/>
      <c r="AB17" s="28"/>
      <c r="AC17" s="52"/>
      <c r="AD17" s="253">
        <f t="shared" si="11"/>
        <v>0</v>
      </c>
      <c r="AE17">
        <v>12</v>
      </c>
    </row>
    <row r="18" spans="1:31" ht="21" customHeight="1">
      <c r="A18" s="528">
        <v>9</v>
      </c>
      <c r="B18" s="529" t="s">
        <v>380</v>
      </c>
      <c r="C18" s="530" t="s">
        <v>227</v>
      </c>
      <c r="D18" s="285">
        <v>4</v>
      </c>
      <c r="E18" s="286">
        <v>1704000</v>
      </c>
      <c r="F18" s="284">
        <v>12</v>
      </c>
      <c r="G18" s="287">
        <f aca="true" t="shared" si="31" ref="G18">E18*F18</f>
        <v>20448000</v>
      </c>
      <c r="H18" s="284">
        <f>E18*1.2</f>
        <v>2044800</v>
      </c>
      <c r="I18" s="284"/>
      <c r="J18" s="284">
        <f t="shared" si="20"/>
        <v>8071570</v>
      </c>
      <c r="K18" s="284">
        <f>F18*80000</f>
        <v>960000</v>
      </c>
      <c r="L18" s="284">
        <f aca="true" t="shared" si="32" ref="L18">100000*F18</f>
        <v>1200000</v>
      </c>
      <c r="M18" s="284">
        <f aca="true" t="shared" si="33" ref="M18">40000*F18</f>
        <v>480000</v>
      </c>
      <c r="N18" s="306">
        <f aca="true" t="shared" si="34" ref="N18">SUM(G18:M18)</f>
        <v>33204370</v>
      </c>
      <c r="O18" s="370">
        <f>N18</f>
        <v>33204370</v>
      </c>
      <c r="P18" s="553">
        <f t="shared" si="8"/>
        <v>12756370</v>
      </c>
      <c r="Q18" s="530" t="s">
        <v>386</v>
      </c>
      <c r="R18" s="515" t="s">
        <v>380</v>
      </c>
      <c r="S18" s="554" t="str">
        <f t="shared" si="9"/>
        <v>오재흠</v>
      </c>
      <c r="T18" s="285">
        <v>10</v>
      </c>
      <c r="U18" s="28">
        <f t="shared" si="10"/>
        <v>2767030.8333333335</v>
      </c>
      <c r="V18" s="28">
        <f t="shared" si="3"/>
        <v>81620</v>
      </c>
      <c r="W18" s="28">
        <f t="shared" si="4"/>
        <v>5340</v>
      </c>
      <c r="X18" s="28">
        <f t="shared" si="5"/>
        <v>124510</v>
      </c>
      <c r="Y18" s="28">
        <f>ROUNDDOWN((U18*4.5%/10),-1)</f>
        <v>12450</v>
      </c>
      <c r="Z18" s="28">
        <v>40000</v>
      </c>
      <c r="AA18" s="28">
        <f>ROUNDDOWN((U18*0.01),-1)</f>
        <v>27670</v>
      </c>
      <c r="AB18" s="28">
        <f>SUM(V18:AA18)</f>
        <v>291590</v>
      </c>
      <c r="AC18" s="52"/>
      <c r="AD18" s="253">
        <f t="shared" si="11"/>
        <v>3499080</v>
      </c>
      <c r="AE18">
        <v>12</v>
      </c>
    </row>
    <row r="19" spans="1:31" ht="21" customHeight="1">
      <c r="A19" s="566">
        <v>10</v>
      </c>
      <c r="B19" s="562" t="s">
        <v>455</v>
      </c>
      <c r="C19" s="558" t="s">
        <v>388</v>
      </c>
      <c r="D19" s="308">
        <v>5</v>
      </c>
      <c r="E19" s="286">
        <v>1755000</v>
      </c>
      <c r="F19" s="284">
        <v>9</v>
      </c>
      <c r="G19" s="287">
        <f aca="true" t="shared" si="35" ref="G19:G20">E19*F19</f>
        <v>15795000</v>
      </c>
      <c r="H19" s="284">
        <f>E19*1.2</f>
        <v>2106000</v>
      </c>
      <c r="I19" s="284"/>
      <c r="J19" s="284">
        <f t="shared" si="20"/>
        <v>6234860</v>
      </c>
      <c r="K19" s="284"/>
      <c r="L19" s="284">
        <f aca="true" t="shared" si="36" ref="L19:L20">100000*F19</f>
        <v>900000</v>
      </c>
      <c r="M19" s="284">
        <f aca="true" t="shared" si="37" ref="M19:M20">40000*F19</f>
        <v>360000</v>
      </c>
      <c r="N19" s="306">
        <f aca="true" t="shared" si="38" ref="N19:N20">SUM(G19:M19)</f>
        <v>25395860</v>
      </c>
      <c r="O19" s="370">
        <f>N19+N20</f>
        <v>33598490</v>
      </c>
      <c r="P19" s="553">
        <f t="shared" si="8"/>
        <v>9600860</v>
      </c>
      <c r="Q19" s="558" t="s">
        <v>388</v>
      </c>
      <c r="R19" s="530" t="s">
        <v>380</v>
      </c>
      <c r="S19" s="554" t="str">
        <f t="shared" si="9"/>
        <v>김민지</v>
      </c>
      <c r="T19" s="285">
        <v>3</v>
      </c>
      <c r="U19" s="28">
        <f t="shared" si="10"/>
        <v>2799874.1666666665</v>
      </c>
      <c r="V19" s="28">
        <f t="shared" si="3"/>
        <v>82590</v>
      </c>
      <c r="W19" s="28">
        <f t="shared" si="4"/>
        <v>5400</v>
      </c>
      <c r="X19" s="28">
        <f t="shared" si="5"/>
        <v>125990</v>
      </c>
      <c r="Y19" s="28">
        <f aca="true" t="shared" si="39" ref="Y19">ROUNDDOWN((U19*4.5%/10),-1)</f>
        <v>12590</v>
      </c>
      <c r="Z19" s="28">
        <v>40000</v>
      </c>
      <c r="AA19" s="28">
        <f aca="true" t="shared" si="40" ref="AA19">ROUNDDOWN((U19*0.01),-1)</f>
        <v>27990</v>
      </c>
      <c r="AB19" s="28">
        <f aca="true" t="shared" si="41" ref="AB19">SUM(V19:AA19)</f>
        <v>294560</v>
      </c>
      <c r="AC19" s="52">
        <f aca="true" t="shared" si="42" ref="AC19">U19-AB19</f>
        <v>2505314.1666666665</v>
      </c>
      <c r="AD19" s="253">
        <f t="shared" si="11"/>
        <v>3534720</v>
      </c>
      <c r="AE19">
        <v>12</v>
      </c>
    </row>
    <row r="20" spans="1:31" ht="21" customHeight="1">
      <c r="A20" s="567"/>
      <c r="B20" s="563"/>
      <c r="C20" s="559"/>
      <c r="D20" s="308">
        <v>6</v>
      </c>
      <c r="E20" s="286">
        <v>1860000</v>
      </c>
      <c r="F20" s="284">
        <v>3</v>
      </c>
      <c r="G20" s="287">
        <f t="shared" si="35"/>
        <v>5580000</v>
      </c>
      <c r="H20" s="284"/>
      <c r="I20" s="284"/>
      <c r="J20" s="284">
        <f t="shared" si="20"/>
        <v>2202630</v>
      </c>
      <c r="K20" s="284"/>
      <c r="L20" s="284">
        <f t="shared" si="36"/>
        <v>300000</v>
      </c>
      <c r="M20" s="284">
        <f t="shared" si="37"/>
        <v>120000</v>
      </c>
      <c r="N20" s="306">
        <f t="shared" si="38"/>
        <v>8202630</v>
      </c>
      <c r="O20" s="371"/>
      <c r="P20" s="553">
        <f t="shared" si="8"/>
        <v>2622630</v>
      </c>
      <c r="Q20" s="559"/>
      <c r="R20" s="531"/>
      <c r="S20" s="554">
        <f t="shared" si="9"/>
        <v>0</v>
      </c>
      <c r="T20" s="285">
        <v>4</v>
      </c>
      <c r="U20" s="28">
        <f t="shared" si="10"/>
        <v>0</v>
      </c>
      <c r="V20" s="28">
        <f t="shared" si="3"/>
        <v>0</v>
      </c>
      <c r="W20" s="28">
        <f t="shared" si="4"/>
        <v>0</v>
      </c>
      <c r="X20" s="28">
        <f t="shared" si="5"/>
        <v>0</v>
      </c>
      <c r="Y20" s="28"/>
      <c r="Z20" s="28"/>
      <c r="AA20" s="28"/>
      <c r="AB20" s="28"/>
      <c r="AC20" s="52"/>
      <c r="AD20" s="253">
        <f t="shared" si="11"/>
        <v>0</v>
      </c>
      <c r="AE20">
        <v>12</v>
      </c>
    </row>
    <row r="21" spans="1:31" ht="21" customHeight="1">
      <c r="A21" s="566">
        <v>11</v>
      </c>
      <c r="B21" s="529" t="s">
        <v>380</v>
      </c>
      <c r="C21" s="530" t="s">
        <v>389</v>
      </c>
      <c r="D21" s="285">
        <v>5</v>
      </c>
      <c r="E21" s="286">
        <v>1755000</v>
      </c>
      <c r="F21" s="284">
        <v>9</v>
      </c>
      <c r="G21" s="287">
        <f t="shared" si="6"/>
        <v>15795000</v>
      </c>
      <c r="H21" s="284">
        <f>E21*1.2</f>
        <v>2106000</v>
      </c>
      <c r="I21" s="284"/>
      <c r="J21" s="284">
        <f t="shared" si="20"/>
        <v>6234860</v>
      </c>
      <c r="K21" s="284">
        <v>280000</v>
      </c>
      <c r="L21" s="284">
        <f t="shared" si="0"/>
        <v>900000</v>
      </c>
      <c r="M21" s="284">
        <f t="shared" si="1"/>
        <v>360000</v>
      </c>
      <c r="N21" s="306">
        <f t="shared" si="2"/>
        <v>25675860</v>
      </c>
      <c r="O21" s="370">
        <f>N21+N22</f>
        <v>33878490</v>
      </c>
      <c r="P21" s="553">
        <f t="shared" si="8"/>
        <v>9880860</v>
      </c>
      <c r="Q21" s="530" t="s">
        <v>389</v>
      </c>
      <c r="R21" s="530" t="s">
        <v>380</v>
      </c>
      <c r="S21" s="554" t="str">
        <f t="shared" si="9"/>
        <v>손성호</v>
      </c>
      <c r="T21" s="285">
        <v>3</v>
      </c>
      <c r="U21" s="28">
        <f t="shared" si="10"/>
        <v>2823207.5</v>
      </c>
      <c r="V21" s="28">
        <f t="shared" si="3"/>
        <v>83280</v>
      </c>
      <c r="W21" s="28">
        <f t="shared" si="4"/>
        <v>5450</v>
      </c>
      <c r="X21" s="28">
        <f t="shared" si="5"/>
        <v>127040</v>
      </c>
      <c r="Y21" s="28">
        <f t="shared" si="13"/>
        <v>12700</v>
      </c>
      <c r="Z21" s="28">
        <v>40000</v>
      </c>
      <c r="AA21" s="28">
        <f t="shared" si="14"/>
        <v>28230</v>
      </c>
      <c r="AB21" s="28">
        <f t="shared" si="15"/>
        <v>296700</v>
      </c>
      <c r="AC21" s="52">
        <f t="shared" si="16"/>
        <v>2526507.5</v>
      </c>
      <c r="AD21" s="253">
        <f t="shared" si="11"/>
        <v>3560400</v>
      </c>
      <c r="AE21">
        <v>12</v>
      </c>
    </row>
    <row r="22" spans="1:31" ht="21" customHeight="1">
      <c r="A22" s="567"/>
      <c r="B22" s="533"/>
      <c r="C22" s="531"/>
      <c r="D22" s="285">
        <v>6</v>
      </c>
      <c r="E22" s="286">
        <v>1860000</v>
      </c>
      <c r="F22" s="284">
        <v>3</v>
      </c>
      <c r="G22" s="287">
        <f t="shared" si="6"/>
        <v>5580000</v>
      </c>
      <c r="H22" s="284"/>
      <c r="I22" s="284"/>
      <c r="J22" s="284">
        <f t="shared" si="20"/>
        <v>2202630</v>
      </c>
      <c r="K22" s="284"/>
      <c r="L22" s="284">
        <f t="shared" si="0"/>
        <v>300000</v>
      </c>
      <c r="M22" s="284">
        <f t="shared" si="1"/>
        <v>120000</v>
      </c>
      <c r="N22" s="306">
        <f t="shared" si="2"/>
        <v>8202630</v>
      </c>
      <c r="O22" s="371"/>
      <c r="P22" s="553">
        <f t="shared" si="8"/>
        <v>2622630</v>
      </c>
      <c r="Q22" s="531"/>
      <c r="R22" s="531"/>
      <c r="S22" s="554">
        <f t="shared" si="9"/>
        <v>0</v>
      </c>
      <c r="T22" s="285">
        <v>4</v>
      </c>
      <c r="U22" s="28">
        <f t="shared" si="10"/>
        <v>0</v>
      </c>
      <c r="V22" s="28">
        <f t="shared" si="3"/>
        <v>0</v>
      </c>
      <c r="W22" s="28">
        <f t="shared" si="4"/>
        <v>0</v>
      </c>
      <c r="X22" s="28">
        <f t="shared" si="5"/>
        <v>0</v>
      </c>
      <c r="Y22" s="28"/>
      <c r="Z22" s="28"/>
      <c r="AA22" s="28"/>
      <c r="AB22" s="28"/>
      <c r="AC22" s="52"/>
      <c r="AD22" s="253">
        <f t="shared" si="11"/>
        <v>0</v>
      </c>
      <c r="AE22">
        <v>12</v>
      </c>
    </row>
    <row r="23" spans="1:31" ht="21" customHeight="1">
      <c r="A23" s="566">
        <v>12</v>
      </c>
      <c r="B23" s="562" t="s">
        <v>455</v>
      </c>
      <c r="C23" s="558" t="s">
        <v>390</v>
      </c>
      <c r="D23" s="523">
        <v>1</v>
      </c>
      <c r="E23" s="524">
        <v>1554000</v>
      </c>
      <c r="F23" s="525">
        <v>3</v>
      </c>
      <c r="G23" s="526">
        <f t="shared" si="6"/>
        <v>4662000</v>
      </c>
      <c r="H23" s="525">
        <f>E23*0.6</f>
        <v>932400</v>
      </c>
      <c r="I23" s="525"/>
      <c r="J23" s="525">
        <f t="shared" si="20"/>
        <v>1840260</v>
      </c>
      <c r="K23" s="525"/>
      <c r="L23" s="525">
        <f t="shared" si="0"/>
        <v>300000</v>
      </c>
      <c r="M23" s="525">
        <f t="shared" si="1"/>
        <v>120000</v>
      </c>
      <c r="N23" s="527">
        <f t="shared" si="2"/>
        <v>7854660</v>
      </c>
      <c r="O23" s="370">
        <f>N23+N24</f>
        <v>30185170</v>
      </c>
      <c r="P23" s="553">
        <f t="shared" si="8"/>
        <v>3192660</v>
      </c>
      <c r="Q23" s="558" t="s">
        <v>390</v>
      </c>
      <c r="R23" s="530" t="s">
        <v>380</v>
      </c>
      <c r="S23" s="554" t="str">
        <f t="shared" si="9"/>
        <v>박민지</v>
      </c>
      <c r="T23" s="285">
        <v>3</v>
      </c>
      <c r="U23" s="28">
        <f t="shared" si="10"/>
        <v>2515430.8333333335</v>
      </c>
      <c r="V23" s="28">
        <f t="shared" si="3"/>
        <v>74200</v>
      </c>
      <c r="W23" s="28">
        <f t="shared" si="4"/>
        <v>4860</v>
      </c>
      <c r="X23" s="28">
        <f t="shared" si="5"/>
        <v>113190</v>
      </c>
      <c r="Y23" s="28">
        <f aca="true" t="shared" si="43" ref="Y23">ROUNDDOWN((U23*4.5%/10),-1)</f>
        <v>11310</v>
      </c>
      <c r="Z23" s="28">
        <v>40000</v>
      </c>
      <c r="AA23" s="28">
        <f aca="true" t="shared" si="44" ref="AA23">ROUNDDOWN((U23*0.01),-1)</f>
        <v>25150</v>
      </c>
      <c r="AB23" s="28">
        <f aca="true" t="shared" si="45" ref="AB23">SUM(V23:AA23)</f>
        <v>268710</v>
      </c>
      <c r="AC23" s="52">
        <f aca="true" t="shared" si="46" ref="AC23">U23-AB23</f>
        <v>2246720.8333333335</v>
      </c>
      <c r="AD23" s="253">
        <f t="shared" si="11"/>
        <v>3224520</v>
      </c>
      <c r="AE23">
        <v>12</v>
      </c>
    </row>
    <row r="24" spans="1:31" ht="21" customHeight="1">
      <c r="A24" s="567"/>
      <c r="B24" s="563"/>
      <c r="C24" s="559"/>
      <c r="D24" s="523">
        <v>2</v>
      </c>
      <c r="E24" s="524">
        <v>1602000</v>
      </c>
      <c r="F24" s="525">
        <v>9</v>
      </c>
      <c r="G24" s="526">
        <f t="shared" si="6"/>
        <v>14418000</v>
      </c>
      <c r="H24" s="525">
        <f>E24*0.6</f>
        <v>961200</v>
      </c>
      <c r="I24" s="525"/>
      <c r="J24" s="525">
        <f t="shared" si="20"/>
        <v>5691310</v>
      </c>
      <c r="K24" s="525"/>
      <c r="L24" s="525">
        <f t="shared" si="0"/>
        <v>900000</v>
      </c>
      <c r="M24" s="525">
        <f t="shared" si="1"/>
        <v>360000</v>
      </c>
      <c r="N24" s="527">
        <f t="shared" si="2"/>
        <v>22330510</v>
      </c>
      <c r="O24" s="371"/>
      <c r="P24" s="553">
        <f t="shared" si="8"/>
        <v>7912510</v>
      </c>
      <c r="Q24" s="559"/>
      <c r="R24" s="531"/>
      <c r="S24" s="554">
        <f t="shared" si="9"/>
        <v>0</v>
      </c>
      <c r="T24" s="285">
        <v>4</v>
      </c>
      <c r="U24" s="28">
        <f t="shared" si="10"/>
        <v>0</v>
      </c>
      <c r="V24" s="28">
        <f t="shared" si="3"/>
        <v>0</v>
      </c>
      <c r="W24" s="28">
        <f t="shared" si="4"/>
        <v>0</v>
      </c>
      <c r="X24" s="28">
        <f t="shared" si="5"/>
        <v>0</v>
      </c>
      <c r="Y24" s="28"/>
      <c r="Z24" s="28"/>
      <c r="AA24" s="28"/>
      <c r="AB24" s="28"/>
      <c r="AC24" s="52"/>
      <c r="AD24" s="253">
        <f t="shared" si="11"/>
        <v>0</v>
      </c>
      <c r="AE24">
        <v>12</v>
      </c>
    </row>
    <row r="25" spans="1:31" ht="21" customHeight="1">
      <c r="A25" s="566">
        <v>13</v>
      </c>
      <c r="B25" s="562" t="s">
        <v>455</v>
      </c>
      <c r="C25" s="558" t="s">
        <v>391</v>
      </c>
      <c r="D25" s="285">
        <v>5</v>
      </c>
      <c r="E25" s="286">
        <v>1755000</v>
      </c>
      <c r="F25" s="284">
        <v>9</v>
      </c>
      <c r="G25" s="287">
        <f aca="true" t="shared" si="47" ref="G25:G26">E25*F25</f>
        <v>15795000</v>
      </c>
      <c r="H25" s="284">
        <f>E25*1.2</f>
        <v>2106000</v>
      </c>
      <c r="I25" s="284"/>
      <c r="J25" s="284">
        <f t="shared" si="20"/>
        <v>6234860</v>
      </c>
      <c r="K25" s="284"/>
      <c r="L25" s="284">
        <f aca="true" t="shared" si="48" ref="L25:L26">100000*F25</f>
        <v>900000</v>
      </c>
      <c r="M25" s="284">
        <f aca="true" t="shared" si="49" ref="M25:M26">40000*F25</f>
        <v>360000</v>
      </c>
      <c r="N25" s="306">
        <f aca="true" t="shared" si="50" ref="N25:N26">SUM(G25:M25)</f>
        <v>25395860</v>
      </c>
      <c r="O25" s="370">
        <f>N25+N26</f>
        <v>33598490</v>
      </c>
      <c r="P25" s="553">
        <f t="shared" si="8"/>
        <v>9600860</v>
      </c>
      <c r="Q25" s="558" t="s">
        <v>391</v>
      </c>
      <c r="R25" s="530" t="s">
        <v>380</v>
      </c>
      <c r="S25" s="554" t="str">
        <f t="shared" si="9"/>
        <v>정동민</v>
      </c>
      <c r="T25" s="285">
        <v>3</v>
      </c>
      <c r="U25" s="28">
        <f t="shared" si="10"/>
        <v>2799874.1666666665</v>
      </c>
      <c r="V25" s="28">
        <f t="shared" si="3"/>
        <v>82590</v>
      </c>
      <c r="W25" s="28">
        <f t="shared" si="4"/>
        <v>5400</v>
      </c>
      <c r="X25" s="28">
        <f t="shared" si="5"/>
        <v>125990</v>
      </c>
      <c r="Y25" s="28">
        <f aca="true" t="shared" si="51" ref="Y25">ROUNDDOWN((U25*4.5%/10),-1)</f>
        <v>12590</v>
      </c>
      <c r="Z25" s="28">
        <v>40000</v>
      </c>
      <c r="AA25" s="28">
        <f aca="true" t="shared" si="52" ref="AA25">ROUNDDOWN((U25*0.01),-1)</f>
        <v>27990</v>
      </c>
      <c r="AB25" s="28">
        <f aca="true" t="shared" si="53" ref="AB25">SUM(V25:AA25)</f>
        <v>294560</v>
      </c>
      <c r="AC25" s="52">
        <f aca="true" t="shared" si="54" ref="AC25">U25-AB25</f>
        <v>2505314.1666666665</v>
      </c>
      <c r="AD25" s="253">
        <f t="shared" si="11"/>
        <v>3534720</v>
      </c>
      <c r="AE25">
        <v>12</v>
      </c>
    </row>
    <row r="26" spans="1:31" ht="21" customHeight="1">
      <c r="A26" s="567"/>
      <c r="B26" s="563"/>
      <c r="C26" s="559"/>
      <c r="D26" s="285">
        <v>6</v>
      </c>
      <c r="E26" s="286">
        <v>1860000</v>
      </c>
      <c r="F26" s="284">
        <v>3</v>
      </c>
      <c r="G26" s="287">
        <f t="shared" si="47"/>
        <v>5580000</v>
      </c>
      <c r="H26" s="284"/>
      <c r="I26" s="284"/>
      <c r="J26" s="284">
        <f t="shared" si="20"/>
        <v>2202630</v>
      </c>
      <c r="K26" s="284"/>
      <c r="L26" s="284">
        <f t="shared" si="48"/>
        <v>300000</v>
      </c>
      <c r="M26" s="284">
        <f t="shared" si="49"/>
        <v>120000</v>
      </c>
      <c r="N26" s="306">
        <f t="shared" si="50"/>
        <v>8202630</v>
      </c>
      <c r="O26" s="371"/>
      <c r="P26" s="553">
        <f t="shared" si="8"/>
        <v>2622630</v>
      </c>
      <c r="Q26" s="559"/>
      <c r="R26" s="531"/>
      <c r="S26" s="554">
        <f t="shared" si="9"/>
        <v>0</v>
      </c>
      <c r="T26" s="285">
        <v>4</v>
      </c>
      <c r="U26" s="28">
        <f t="shared" si="10"/>
        <v>0</v>
      </c>
      <c r="V26" s="28">
        <f t="shared" si="3"/>
        <v>0</v>
      </c>
      <c r="W26" s="28">
        <f t="shared" si="4"/>
        <v>0</v>
      </c>
      <c r="X26" s="28">
        <f t="shared" si="5"/>
        <v>0</v>
      </c>
      <c r="Y26" s="28"/>
      <c r="Z26" s="28"/>
      <c r="AA26" s="28"/>
      <c r="AB26" s="28"/>
      <c r="AC26" s="52"/>
      <c r="AD26" s="253">
        <f t="shared" si="11"/>
        <v>0</v>
      </c>
      <c r="AE26">
        <v>12</v>
      </c>
    </row>
    <row r="27" spans="1:31" ht="21" customHeight="1">
      <c r="A27" s="520">
        <v>14</v>
      </c>
      <c r="B27" s="562" t="s">
        <v>455</v>
      </c>
      <c r="C27" s="522" t="s">
        <v>435</v>
      </c>
      <c r="D27" s="308">
        <v>5</v>
      </c>
      <c r="E27" s="309">
        <v>1755000</v>
      </c>
      <c r="F27" s="310">
        <v>12</v>
      </c>
      <c r="G27" s="311">
        <f t="shared" si="6"/>
        <v>21060000</v>
      </c>
      <c r="H27" s="310">
        <f>E27*1.2</f>
        <v>2106000</v>
      </c>
      <c r="I27" s="310"/>
      <c r="J27" s="310">
        <f>ROUNDDOWN((G27*55/209*1.5),-1)</f>
        <v>8313150</v>
      </c>
      <c r="K27" s="310"/>
      <c r="L27" s="310">
        <f t="shared" si="0"/>
        <v>1200000</v>
      </c>
      <c r="M27" s="310">
        <f t="shared" si="1"/>
        <v>480000</v>
      </c>
      <c r="N27" s="312">
        <f t="shared" si="2"/>
        <v>33159150</v>
      </c>
      <c r="O27" s="370">
        <f aca="true" t="shared" si="55" ref="O27:O39">N27</f>
        <v>33159150</v>
      </c>
      <c r="P27" s="553">
        <f t="shared" si="8"/>
        <v>12099150</v>
      </c>
      <c r="Q27" s="522" t="s">
        <v>435</v>
      </c>
      <c r="R27" s="522" t="s">
        <v>387</v>
      </c>
      <c r="S27" s="554" t="str">
        <f t="shared" si="9"/>
        <v>신규</v>
      </c>
      <c r="T27" s="308">
        <v>1</v>
      </c>
      <c r="U27" s="28">
        <f t="shared" si="10"/>
        <v>2763262.5</v>
      </c>
      <c r="V27" s="28">
        <f t="shared" si="3"/>
        <v>81510</v>
      </c>
      <c r="W27" s="28">
        <f t="shared" si="4"/>
        <v>5330</v>
      </c>
      <c r="X27" s="28">
        <f t="shared" si="5"/>
        <v>124340</v>
      </c>
      <c r="Y27" s="28">
        <f t="shared" si="13"/>
        <v>12430</v>
      </c>
      <c r="Z27" s="28">
        <v>40000</v>
      </c>
      <c r="AA27" s="28">
        <f t="shared" si="14"/>
        <v>27630</v>
      </c>
      <c r="AB27" s="28">
        <f t="shared" si="15"/>
        <v>291240</v>
      </c>
      <c r="AC27" s="52">
        <f t="shared" si="16"/>
        <v>2472022.5</v>
      </c>
      <c r="AD27" s="253">
        <f t="shared" si="11"/>
        <v>3494880</v>
      </c>
      <c r="AE27">
        <v>12</v>
      </c>
    </row>
    <row r="28" spans="1:31" ht="21" customHeight="1">
      <c r="A28" s="520">
        <v>15</v>
      </c>
      <c r="B28" s="521" t="s">
        <v>436</v>
      </c>
      <c r="C28" s="522" t="s">
        <v>435</v>
      </c>
      <c r="D28" s="308">
        <v>5</v>
      </c>
      <c r="E28" s="309">
        <v>1978000</v>
      </c>
      <c r="F28" s="310">
        <v>12</v>
      </c>
      <c r="G28" s="311">
        <f t="shared" si="6"/>
        <v>23736000</v>
      </c>
      <c r="H28" s="310">
        <f>E28*1.2</f>
        <v>2373600</v>
      </c>
      <c r="I28" s="310"/>
      <c r="J28" s="310">
        <f>ROUNDDOWN((G28*35/209*1.5),-1)</f>
        <v>5962390</v>
      </c>
      <c r="K28" s="310"/>
      <c r="L28" s="310">
        <f t="shared" si="0"/>
        <v>1200000</v>
      </c>
      <c r="M28" s="310">
        <f t="shared" si="1"/>
        <v>480000</v>
      </c>
      <c r="N28" s="312">
        <f t="shared" si="2"/>
        <v>33751990</v>
      </c>
      <c r="O28" s="370">
        <f t="shared" si="55"/>
        <v>33751990</v>
      </c>
      <c r="P28" s="553">
        <f t="shared" si="8"/>
        <v>10015990</v>
      </c>
      <c r="Q28" s="522" t="s">
        <v>435</v>
      </c>
      <c r="R28" s="522" t="s">
        <v>387</v>
      </c>
      <c r="S28" s="554" t="str">
        <f t="shared" si="9"/>
        <v>신규</v>
      </c>
      <c r="T28" s="308">
        <v>1</v>
      </c>
      <c r="U28" s="28">
        <f t="shared" si="10"/>
        <v>2812665.8333333335</v>
      </c>
      <c r="V28" s="28">
        <f t="shared" si="3"/>
        <v>82970</v>
      </c>
      <c r="W28" s="28">
        <f t="shared" si="4"/>
        <v>5430</v>
      </c>
      <c r="X28" s="28">
        <f t="shared" si="5"/>
        <v>126560</v>
      </c>
      <c r="Y28" s="28">
        <f t="shared" si="13"/>
        <v>12650</v>
      </c>
      <c r="Z28" s="28">
        <v>40000</v>
      </c>
      <c r="AA28" s="28">
        <f t="shared" si="14"/>
        <v>28120</v>
      </c>
      <c r="AB28" s="28">
        <f t="shared" si="15"/>
        <v>295730</v>
      </c>
      <c r="AC28" s="52">
        <f t="shared" si="16"/>
        <v>2516935.8333333335</v>
      </c>
      <c r="AD28" s="253">
        <f t="shared" si="11"/>
        <v>3548760</v>
      </c>
      <c r="AE28">
        <v>12</v>
      </c>
    </row>
    <row r="29" spans="1:31" ht="21" customHeight="1">
      <c r="A29" s="528">
        <v>16</v>
      </c>
      <c r="B29" s="529" t="s">
        <v>392</v>
      </c>
      <c r="C29" s="530" t="s">
        <v>393</v>
      </c>
      <c r="D29" s="285">
        <v>2</v>
      </c>
      <c r="E29" s="286">
        <v>1415000</v>
      </c>
      <c r="F29" s="284">
        <v>3</v>
      </c>
      <c r="G29" s="287">
        <f t="shared" si="6"/>
        <v>4245000</v>
      </c>
      <c r="H29" s="284">
        <f>E29*0.6</f>
        <v>849000</v>
      </c>
      <c r="I29" s="284"/>
      <c r="J29" s="284">
        <f>ROUNDDOWN((G29*55/209*1.5),-1)</f>
        <v>1675650</v>
      </c>
      <c r="K29" s="284"/>
      <c r="L29" s="284">
        <f t="shared" si="0"/>
        <v>300000</v>
      </c>
      <c r="M29" s="284"/>
      <c r="N29" s="306">
        <f t="shared" si="2"/>
        <v>7069650</v>
      </c>
      <c r="O29" s="370">
        <f>N29+N30</f>
        <v>27238250</v>
      </c>
      <c r="P29" s="553">
        <f t="shared" si="8"/>
        <v>2824650</v>
      </c>
      <c r="Q29" s="530" t="s">
        <v>393</v>
      </c>
      <c r="R29" s="530" t="s">
        <v>392</v>
      </c>
      <c r="S29" s="554" t="str">
        <f t="shared" si="9"/>
        <v>김봉란</v>
      </c>
      <c r="T29" s="285">
        <v>1</v>
      </c>
      <c r="U29" s="28">
        <f t="shared" si="10"/>
        <v>2269854.1666666665</v>
      </c>
      <c r="V29" s="28">
        <f t="shared" si="3"/>
        <v>66960</v>
      </c>
      <c r="W29" s="28">
        <f t="shared" si="4"/>
        <v>4380</v>
      </c>
      <c r="X29" s="28">
        <f t="shared" si="5"/>
        <v>102140</v>
      </c>
      <c r="Y29" s="28">
        <f t="shared" si="13"/>
        <v>10210</v>
      </c>
      <c r="Z29" s="28">
        <v>40000</v>
      </c>
      <c r="AA29" s="28">
        <f t="shared" si="14"/>
        <v>22690</v>
      </c>
      <c r="AB29" s="28">
        <f t="shared" si="15"/>
        <v>246380</v>
      </c>
      <c r="AC29" s="52">
        <f t="shared" si="16"/>
        <v>2023474.1666666665</v>
      </c>
      <c r="AD29" s="253">
        <f t="shared" si="11"/>
        <v>2956560</v>
      </c>
      <c r="AE29">
        <v>12</v>
      </c>
    </row>
    <row r="30" spans="1:31" ht="21" customHeight="1">
      <c r="A30" s="532"/>
      <c r="B30" s="533"/>
      <c r="C30" s="531"/>
      <c r="D30" s="285">
        <v>3</v>
      </c>
      <c r="E30" s="286">
        <v>1465000</v>
      </c>
      <c r="F30" s="284">
        <v>9</v>
      </c>
      <c r="G30" s="287">
        <f t="shared" si="6"/>
        <v>13185000</v>
      </c>
      <c r="H30" s="284">
        <f aca="true" t="shared" si="56" ref="H30:H38">E30*0.6</f>
        <v>879000</v>
      </c>
      <c r="I30" s="284"/>
      <c r="J30" s="284">
        <f aca="true" t="shared" si="57" ref="J30:J32">ROUNDDOWN((G30*55/209*1.5),-1)</f>
        <v>5204600</v>
      </c>
      <c r="K30" s="284"/>
      <c r="L30" s="284">
        <f t="shared" si="0"/>
        <v>900000</v>
      </c>
      <c r="M30" s="284"/>
      <c r="N30" s="306">
        <f t="shared" si="2"/>
        <v>20168600</v>
      </c>
      <c r="O30" s="371"/>
      <c r="P30" s="553">
        <f t="shared" si="8"/>
        <v>6983600</v>
      </c>
      <c r="Q30" s="531"/>
      <c r="R30" s="531"/>
      <c r="S30" s="554">
        <f t="shared" si="9"/>
        <v>0</v>
      </c>
      <c r="T30" s="285">
        <v>2</v>
      </c>
      <c r="U30" s="28">
        <f t="shared" si="10"/>
        <v>0</v>
      </c>
      <c r="V30" s="28">
        <f t="shared" si="3"/>
        <v>0</v>
      </c>
      <c r="W30" s="28">
        <f t="shared" si="4"/>
        <v>0</v>
      </c>
      <c r="X30" s="28">
        <f t="shared" si="5"/>
        <v>0</v>
      </c>
      <c r="Y30" s="28"/>
      <c r="Z30" s="28"/>
      <c r="AA30" s="28"/>
      <c r="AB30" s="28"/>
      <c r="AC30" s="52"/>
      <c r="AD30" s="253">
        <f t="shared" si="11"/>
        <v>0</v>
      </c>
      <c r="AE30">
        <v>12</v>
      </c>
    </row>
    <row r="31" spans="1:31" ht="21" customHeight="1">
      <c r="A31" s="528">
        <v>17</v>
      </c>
      <c r="B31" s="529" t="s">
        <v>392</v>
      </c>
      <c r="C31" s="530" t="s">
        <v>394</v>
      </c>
      <c r="D31" s="285">
        <v>2</v>
      </c>
      <c r="E31" s="286">
        <v>1415000</v>
      </c>
      <c r="F31" s="284">
        <v>9</v>
      </c>
      <c r="G31" s="287">
        <f t="shared" si="6"/>
        <v>12735000</v>
      </c>
      <c r="H31" s="284">
        <f>E31*1.2</f>
        <v>1698000</v>
      </c>
      <c r="I31" s="284"/>
      <c r="J31" s="284">
        <f t="shared" si="57"/>
        <v>5026970</v>
      </c>
      <c r="K31" s="284">
        <f>F31*40000</f>
        <v>360000</v>
      </c>
      <c r="L31" s="284">
        <f t="shared" si="0"/>
        <v>900000</v>
      </c>
      <c r="M31" s="284"/>
      <c r="N31" s="306">
        <f t="shared" si="2"/>
        <v>20719970</v>
      </c>
      <c r="O31" s="370">
        <f>N31+N32</f>
        <v>27269830</v>
      </c>
      <c r="P31" s="553">
        <f t="shared" si="8"/>
        <v>7984970</v>
      </c>
      <c r="Q31" s="530" t="s">
        <v>394</v>
      </c>
      <c r="R31" s="530" t="s">
        <v>392</v>
      </c>
      <c r="S31" s="554" t="str">
        <f t="shared" si="9"/>
        <v>서숙재</v>
      </c>
      <c r="T31" s="285">
        <v>1</v>
      </c>
      <c r="U31" s="28">
        <f t="shared" si="10"/>
        <v>2272485.8333333335</v>
      </c>
      <c r="V31" s="28">
        <f t="shared" si="3"/>
        <v>67030</v>
      </c>
      <c r="W31" s="28">
        <f t="shared" si="4"/>
        <v>4390</v>
      </c>
      <c r="X31" s="28">
        <f t="shared" si="5"/>
        <v>102260</v>
      </c>
      <c r="Y31" s="28">
        <f aca="true" t="shared" si="58" ref="Y31">ROUNDDOWN((U31*4.5%/10),-1)</f>
        <v>10220</v>
      </c>
      <c r="Z31" s="28">
        <v>40000</v>
      </c>
      <c r="AA31" s="28">
        <f aca="true" t="shared" si="59" ref="AA31">ROUNDDOWN((U31*0.01),-1)</f>
        <v>22720</v>
      </c>
      <c r="AB31" s="28">
        <f aca="true" t="shared" si="60" ref="AB31">SUM(V31:AA31)</f>
        <v>246620</v>
      </c>
      <c r="AC31" s="52">
        <f aca="true" t="shared" si="61" ref="AC31">U31-AB31</f>
        <v>2025865.8333333335</v>
      </c>
      <c r="AD31" s="253">
        <f t="shared" si="11"/>
        <v>2959440</v>
      </c>
      <c r="AE31">
        <v>12</v>
      </c>
    </row>
    <row r="32" spans="1:31" ht="21" customHeight="1">
      <c r="A32" s="532"/>
      <c r="B32" s="533"/>
      <c r="C32" s="531"/>
      <c r="D32" s="285">
        <v>3</v>
      </c>
      <c r="E32" s="286">
        <v>1465000</v>
      </c>
      <c r="F32" s="284">
        <v>3</v>
      </c>
      <c r="G32" s="287">
        <f t="shared" si="6"/>
        <v>4395000</v>
      </c>
      <c r="H32" s="284"/>
      <c r="I32" s="284"/>
      <c r="J32" s="284">
        <f t="shared" si="57"/>
        <v>1734860</v>
      </c>
      <c r="K32" s="284">
        <f>F32*40000</f>
        <v>120000</v>
      </c>
      <c r="L32" s="284">
        <f t="shared" si="0"/>
        <v>300000</v>
      </c>
      <c r="M32" s="284"/>
      <c r="N32" s="306">
        <f t="shared" si="2"/>
        <v>6549860</v>
      </c>
      <c r="O32" s="371"/>
      <c r="P32" s="553">
        <f t="shared" si="8"/>
        <v>2154860</v>
      </c>
      <c r="Q32" s="531"/>
      <c r="R32" s="531"/>
      <c r="S32" s="554">
        <f t="shared" si="9"/>
        <v>0</v>
      </c>
      <c r="T32" s="285">
        <v>2</v>
      </c>
      <c r="U32" s="28">
        <f t="shared" si="10"/>
        <v>0</v>
      </c>
      <c r="V32" s="28">
        <f t="shared" si="3"/>
        <v>0</v>
      </c>
      <c r="W32" s="28">
        <f t="shared" si="4"/>
        <v>0</v>
      </c>
      <c r="X32" s="28">
        <f t="shared" si="5"/>
        <v>0</v>
      </c>
      <c r="Y32" s="28"/>
      <c r="Z32" s="28"/>
      <c r="AA32" s="28"/>
      <c r="AB32" s="28"/>
      <c r="AC32" s="52"/>
      <c r="AD32" s="253">
        <f t="shared" si="11"/>
        <v>0</v>
      </c>
      <c r="AE32">
        <v>12</v>
      </c>
    </row>
    <row r="33" spans="1:31" ht="21" customHeight="1">
      <c r="A33" s="528">
        <v>18</v>
      </c>
      <c r="B33" s="529" t="s">
        <v>395</v>
      </c>
      <c r="C33" s="530" t="s">
        <v>396</v>
      </c>
      <c r="D33" s="285">
        <v>5</v>
      </c>
      <c r="E33" s="286">
        <v>1567000</v>
      </c>
      <c r="F33" s="284">
        <v>9</v>
      </c>
      <c r="G33" s="287">
        <f t="shared" si="6"/>
        <v>14103000</v>
      </c>
      <c r="H33" s="284">
        <f>E33*1.2</f>
        <v>1880400</v>
      </c>
      <c r="I33" s="284"/>
      <c r="J33" s="284">
        <f>ROUNDDOWN((G33*35/209*1.5),-1)</f>
        <v>3542610</v>
      </c>
      <c r="K33" s="284">
        <f>F33*80000</f>
        <v>720000</v>
      </c>
      <c r="L33" s="284">
        <f t="shared" si="0"/>
        <v>900000</v>
      </c>
      <c r="M33" s="284"/>
      <c r="N33" s="306">
        <f t="shared" si="2"/>
        <v>21146010</v>
      </c>
      <c r="O33" s="370">
        <f>N33+N34</f>
        <v>27931980</v>
      </c>
      <c r="P33" s="553">
        <f t="shared" si="8"/>
        <v>7043010</v>
      </c>
      <c r="Q33" s="530" t="s">
        <v>396</v>
      </c>
      <c r="R33" s="530" t="s">
        <v>395</v>
      </c>
      <c r="S33" s="554" t="str">
        <f t="shared" si="9"/>
        <v>정안순</v>
      </c>
      <c r="T33" s="285">
        <v>4</v>
      </c>
      <c r="U33" s="28">
        <f t="shared" si="10"/>
        <v>2327665</v>
      </c>
      <c r="V33" s="28">
        <f t="shared" si="3"/>
        <v>68660</v>
      </c>
      <c r="W33" s="28">
        <f t="shared" si="4"/>
        <v>4490</v>
      </c>
      <c r="X33" s="28">
        <f t="shared" si="5"/>
        <v>104740</v>
      </c>
      <c r="Y33" s="28">
        <f aca="true" t="shared" si="62" ref="Y33">ROUNDDOWN((U33*4.5%/10),-1)</f>
        <v>10470</v>
      </c>
      <c r="Z33" s="28">
        <v>40000</v>
      </c>
      <c r="AA33" s="28">
        <f aca="true" t="shared" si="63" ref="AA33">ROUNDDOWN((U33*0.01),-1)</f>
        <v>23270</v>
      </c>
      <c r="AB33" s="28">
        <f aca="true" t="shared" si="64" ref="AB33">SUM(V33:AA33)</f>
        <v>251630</v>
      </c>
      <c r="AC33" s="52">
        <f aca="true" t="shared" si="65" ref="AC33">U33-AB33</f>
        <v>2076035</v>
      </c>
      <c r="AD33" s="253">
        <f t="shared" si="11"/>
        <v>3019560</v>
      </c>
      <c r="AE33">
        <v>12</v>
      </c>
    </row>
    <row r="34" spans="1:31" ht="21" customHeight="1">
      <c r="A34" s="532"/>
      <c r="B34" s="533"/>
      <c r="C34" s="531"/>
      <c r="D34" s="285">
        <v>6</v>
      </c>
      <c r="E34" s="286">
        <v>1664000</v>
      </c>
      <c r="F34" s="284">
        <v>3</v>
      </c>
      <c r="G34" s="287">
        <f t="shared" si="6"/>
        <v>4992000</v>
      </c>
      <c r="H34" s="284"/>
      <c r="I34" s="284"/>
      <c r="J34" s="284">
        <f aca="true" t="shared" si="66" ref="J34:J38">ROUNDDOWN((G34*35/209*1.5),-1)</f>
        <v>1253970</v>
      </c>
      <c r="K34" s="284">
        <f>F34*80000</f>
        <v>240000</v>
      </c>
      <c r="L34" s="284">
        <f t="shared" si="0"/>
        <v>300000</v>
      </c>
      <c r="M34" s="284"/>
      <c r="N34" s="306">
        <f t="shared" si="2"/>
        <v>6785970</v>
      </c>
      <c r="O34" s="371"/>
      <c r="P34" s="553">
        <f t="shared" si="8"/>
        <v>1793970</v>
      </c>
      <c r="Q34" s="531"/>
      <c r="R34" s="531"/>
      <c r="S34" s="554">
        <f t="shared" si="9"/>
        <v>0</v>
      </c>
      <c r="T34" s="285">
        <v>5</v>
      </c>
      <c r="U34" s="28">
        <f t="shared" si="10"/>
        <v>0</v>
      </c>
      <c r="V34" s="28">
        <f t="shared" si="3"/>
        <v>0</v>
      </c>
      <c r="W34" s="28">
        <f t="shared" si="4"/>
        <v>0</v>
      </c>
      <c r="X34" s="28">
        <f t="shared" si="5"/>
        <v>0</v>
      </c>
      <c r="Y34" s="28"/>
      <c r="Z34" s="28"/>
      <c r="AA34" s="28"/>
      <c r="AB34" s="28"/>
      <c r="AC34" s="52"/>
      <c r="AD34" s="253">
        <f t="shared" si="11"/>
        <v>0</v>
      </c>
      <c r="AE34">
        <v>12</v>
      </c>
    </row>
    <row r="35" spans="1:31" ht="21" customHeight="1">
      <c r="A35" s="528">
        <v>19</v>
      </c>
      <c r="B35" s="529" t="s">
        <v>456</v>
      </c>
      <c r="C35" s="530" t="s">
        <v>437</v>
      </c>
      <c r="D35" s="285">
        <v>1</v>
      </c>
      <c r="E35" s="286">
        <v>1665000</v>
      </c>
      <c r="F35" s="284">
        <v>6</v>
      </c>
      <c r="G35" s="287">
        <f t="shared" si="6"/>
        <v>9990000</v>
      </c>
      <c r="H35" s="284">
        <f t="shared" si="56"/>
        <v>999000</v>
      </c>
      <c r="I35" s="284"/>
      <c r="J35" s="284">
        <f t="shared" si="66"/>
        <v>2509440</v>
      </c>
      <c r="K35" s="284"/>
      <c r="L35" s="284">
        <f t="shared" si="0"/>
        <v>600000</v>
      </c>
      <c r="M35" s="284">
        <f aca="true" t="shared" si="67" ref="M35">40000*F35</f>
        <v>240000</v>
      </c>
      <c r="N35" s="306">
        <f aca="true" t="shared" si="68" ref="N35">SUM(G35:M35)</f>
        <v>14338440</v>
      </c>
      <c r="O35" s="370">
        <f>N35+N36</f>
        <v>29147100</v>
      </c>
      <c r="P35" s="553">
        <f t="shared" si="8"/>
        <v>4348440</v>
      </c>
      <c r="Q35" s="530" t="s">
        <v>437</v>
      </c>
      <c r="R35" s="530" t="s">
        <v>397</v>
      </c>
      <c r="S35" s="554" t="str">
        <f t="shared" si="9"/>
        <v>박은정</v>
      </c>
      <c r="T35" s="285">
        <v>5</v>
      </c>
      <c r="U35" s="28">
        <f t="shared" si="10"/>
        <v>2428925</v>
      </c>
      <c r="V35" s="28">
        <f t="shared" si="3"/>
        <v>71650</v>
      </c>
      <c r="W35" s="28">
        <f t="shared" si="4"/>
        <v>4690</v>
      </c>
      <c r="X35" s="28">
        <f t="shared" si="5"/>
        <v>109300</v>
      </c>
      <c r="Y35" s="28">
        <f aca="true" t="shared" si="69" ref="Y35">ROUNDDOWN((U35*4.5%/10),-1)</f>
        <v>10930</v>
      </c>
      <c r="Z35" s="28">
        <v>40000</v>
      </c>
      <c r="AA35" s="28">
        <f aca="true" t="shared" si="70" ref="AA35">ROUNDDOWN((U35*0.01),-1)</f>
        <v>24280</v>
      </c>
      <c r="AB35" s="28">
        <f aca="true" t="shared" si="71" ref="AB35">SUM(V35:AA35)</f>
        <v>260850</v>
      </c>
      <c r="AC35" s="52">
        <f aca="true" t="shared" si="72" ref="AC35">U35-AB35</f>
        <v>2168075</v>
      </c>
      <c r="AD35" s="253">
        <f t="shared" si="11"/>
        <v>3130200</v>
      </c>
      <c r="AE35">
        <v>12</v>
      </c>
    </row>
    <row r="36" spans="1:31" ht="21" customHeight="1">
      <c r="A36" s="532"/>
      <c r="B36" s="533"/>
      <c r="C36" s="531"/>
      <c r="D36" s="285">
        <v>2</v>
      </c>
      <c r="E36" s="286">
        <v>1723000</v>
      </c>
      <c r="F36" s="284">
        <v>6</v>
      </c>
      <c r="G36" s="287">
        <f aca="true" t="shared" si="73" ref="G36">E36*F36</f>
        <v>10338000</v>
      </c>
      <c r="H36" s="284">
        <f t="shared" si="56"/>
        <v>1033800</v>
      </c>
      <c r="I36" s="284"/>
      <c r="J36" s="284">
        <f t="shared" si="66"/>
        <v>2596860</v>
      </c>
      <c r="K36" s="284"/>
      <c r="L36" s="284">
        <f aca="true" t="shared" si="74" ref="L36">100000*F36</f>
        <v>600000</v>
      </c>
      <c r="M36" s="284">
        <f aca="true" t="shared" si="75" ref="M36">40000*F36</f>
        <v>240000</v>
      </c>
      <c r="N36" s="306">
        <f aca="true" t="shared" si="76" ref="N36">SUM(G36:M36)</f>
        <v>14808660</v>
      </c>
      <c r="O36" s="371"/>
      <c r="P36" s="553">
        <f t="shared" si="8"/>
        <v>4470660</v>
      </c>
      <c r="Q36" s="531"/>
      <c r="R36" s="531"/>
      <c r="S36" s="554">
        <f t="shared" si="9"/>
        <v>0</v>
      </c>
      <c r="T36" s="285">
        <v>6</v>
      </c>
      <c r="U36" s="28">
        <f t="shared" si="10"/>
        <v>0</v>
      </c>
      <c r="V36" s="28">
        <f t="shared" si="3"/>
        <v>0</v>
      </c>
      <c r="W36" s="28">
        <f t="shared" si="4"/>
        <v>0</v>
      </c>
      <c r="X36" s="28">
        <f t="shared" si="5"/>
        <v>0</v>
      </c>
      <c r="Y36" s="28"/>
      <c r="Z36" s="28"/>
      <c r="AA36" s="28"/>
      <c r="AB36" s="28"/>
      <c r="AC36" s="52"/>
      <c r="AD36" s="253">
        <f t="shared" si="11"/>
        <v>0</v>
      </c>
      <c r="AE36">
        <v>12</v>
      </c>
    </row>
    <row r="37" spans="1:31" ht="21" customHeight="1">
      <c r="A37" s="528">
        <v>20</v>
      </c>
      <c r="B37" s="529" t="s">
        <v>398</v>
      </c>
      <c r="C37" s="530" t="s">
        <v>399</v>
      </c>
      <c r="D37" s="285">
        <v>5</v>
      </c>
      <c r="E37" s="286">
        <v>1978000</v>
      </c>
      <c r="F37" s="284">
        <v>3</v>
      </c>
      <c r="G37" s="287">
        <f aca="true" t="shared" si="77" ref="G37:G38">E37*F37</f>
        <v>5934000</v>
      </c>
      <c r="H37" s="284">
        <f t="shared" si="56"/>
        <v>1186800</v>
      </c>
      <c r="I37" s="284"/>
      <c r="J37" s="284">
        <f t="shared" si="66"/>
        <v>1490590</v>
      </c>
      <c r="K37" s="284">
        <f>F37*80000</f>
        <v>240000</v>
      </c>
      <c r="L37" s="284">
        <f aca="true" t="shared" si="78" ref="L37:L38">100000*F37</f>
        <v>300000</v>
      </c>
      <c r="M37" s="284"/>
      <c r="N37" s="306">
        <f aca="true" t="shared" si="79" ref="N37:N38">SUM(G37:M37)</f>
        <v>9151390</v>
      </c>
      <c r="O37" s="370">
        <f>N37+N38</f>
        <v>35323170</v>
      </c>
      <c r="P37" s="553">
        <f t="shared" si="8"/>
        <v>3217390</v>
      </c>
      <c r="Q37" s="530" t="s">
        <v>399</v>
      </c>
      <c r="R37" s="530" t="s">
        <v>392</v>
      </c>
      <c r="S37" s="554" t="str">
        <f t="shared" si="9"/>
        <v>양은하</v>
      </c>
      <c r="T37" s="285">
        <v>1</v>
      </c>
      <c r="U37" s="28">
        <f t="shared" si="10"/>
        <v>2943597.5</v>
      </c>
      <c r="V37" s="28">
        <f t="shared" si="3"/>
        <v>86830</v>
      </c>
      <c r="W37" s="28">
        <f t="shared" si="4"/>
        <v>5680</v>
      </c>
      <c r="X37" s="28">
        <f t="shared" si="5"/>
        <v>132460</v>
      </c>
      <c r="Y37" s="28">
        <f aca="true" t="shared" si="80" ref="Y37">ROUNDDOWN((U37*4.5%/10),-1)</f>
        <v>13240</v>
      </c>
      <c r="Z37" s="28">
        <v>40000</v>
      </c>
      <c r="AA37" s="28">
        <f aca="true" t="shared" si="81" ref="AA37">ROUNDDOWN((U37*0.01),-1)</f>
        <v>29430</v>
      </c>
      <c r="AB37" s="28">
        <f aca="true" t="shared" si="82" ref="AB37">SUM(V37:AA37)</f>
        <v>307640</v>
      </c>
      <c r="AC37" s="52">
        <f aca="true" t="shared" si="83" ref="AC37">U37-AB37</f>
        <v>2635957.5</v>
      </c>
      <c r="AD37" s="253">
        <f t="shared" si="11"/>
        <v>3691680</v>
      </c>
      <c r="AE37">
        <v>12</v>
      </c>
    </row>
    <row r="38" spans="1:31" ht="21" customHeight="1">
      <c r="A38" s="532"/>
      <c r="B38" s="533"/>
      <c r="C38" s="531"/>
      <c r="D38" s="285">
        <v>6</v>
      </c>
      <c r="E38" s="286">
        <v>2070000</v>
      </c>
      <c r="F38" s="284">
        <v>9</v>
      </c>
      <c r="G38" s="287">
        <f t="shared" si="77"/>
        <v>18630000</v>
      </c>
      <c r="H38" s="284">
        <f t="shared" si="56"/>
        <v>1242000</v>
      </c>
      <c r="I38" s="284"/>
      <c r="J38" s="284">
        <f t="shared" si="66"/>
        <v>4679780</v>
      </c>
      <c r="K38" s="284">
        <f>F38*80000</f>
        <v>720000</v>
      </c>
      <c r="L38" s="284">
        <f t="shared" si="78"/>
        <v>900000</v>
      </c>
      <c r="M38" s="284"/>
      <c r="N38" s="306">
        <f t="shared" si="79"/>
        <v>26171780</v>
      </c>
      <c r="O38" s="371"/>
      <c r="P38" s="553">
        <f t="shared" si="8"/>
        <v>7541780</v>
      </c>
      <c r="Q38" s="531"/>
      <c r="R38" s="531"/>
      <c r="S38" s="554">
        <f t="shared" si="9"/>
        <v>0</v>
      </c>
      <c r="T38" s="285">
        <v>2</v>
      </c>
      <c r="U38" s="28">
        <f t="shared" si="10"/>
        <v>0</v>
      </c>
      <c r="V38" s="28">
        <f t="shared" si="3"/>
        <v>0</v>
      </c>
      <c r="W38" s="28">
        <f t="shared" si="4"/>
        <v>0</v>
      </c>
      <c r="X38" s="28">
        <f t="shared" si="5"/>
        <v>0</v>
      </c>
      <c r="Y38" s="28"/>
      <c r="Z38" s="28"/>
      <c r="AA38" s="28"/>
      <c r="AB38" s="28"/>
      <c r="AC38" s="52"/>
      <c r="AD38" s="253">
        <f t="shared" si="11"/>
        <v>0</v>
      </c>
      <c r="AE38">
        <v>12</v>
      </c>
    </row>
    <row r="39" spans="1:31" ht="21" customHeight="1">
      <c r="A39" s="313">
        <v>21</v>
      </c>
      <c r="B39" s="368" t="s">
        <v>400</v>
      </c>
      <c r="C39" s="314" t="s">
        <v>401</v>
      </c>
      <c r="D39" s="315">
        <v>2</v>
      </c>
      <c r="E39" s="316">
        <v>1602000</v>
      </c>
      <c r="F39" s="317">
        <v>12</v>
      </c>
      <c r="G39" s="318">
        <f t="shared" si="6"/>
        <v>19224000</v>
      </c>
      <c r="H39" s="317">
        <f>E39</f>
        <v>1602000</v>
      </c>
      <c r="I39" s="317"/>
      <c r="J39" s="284">
        <f>ROUNDDOWN((G39*35/209*1.5),-1)</f>
        <v>4828990</v>
      </c>
      <c r="K39" s="317">
        <f>F39*20000</f>
        <v>240000</v>
      </c>
      <c r="L39" s="317">
        <f t="shared" si="0"/>
        <v>1200000</v>
      </c>
      <c r="M39" s="317"/>
      <c r="N39" s="319">
        <f t="shared" si="2"/>
        <v>27094990</v>
      </c>
      <c r="O39" s="370">
        <f t="shared" si="55"/>
        <v>27094990</v>
      </c>
      <c r="P39" s="553">
        <f t="shared" si="8"/>
        <v>7870990</v>
      </c>
      <c r="Q39" s="314" t="s">
        <v>401</v>
      </c>
      <c r="R39" s="314" t="s">
        <v>400</v>
      </c>
      <c r="S39" s="554" t="str">
        <f t="shared" si="9"/>
        <v>황효섭</v>
      </c>
      <c r="T39" s="315">
        <v>1</v>
      </c>
      <c r="U39" s="28">
        <f t="shared" si="10"/>
        <v>2257915.8333333335</v>
      </c>
      <c r="V39" s="28">
        <f t="shared" si="3"/>
        <v>66600</v>
      </c>
      <c r="W39" s="28">
        <f t="shared" si="4"/>
        <v>4360</v>
      </c>
      <c r="X39" s="28">
        <f t="shared" si="5"/>
        <v>101600</v>
      </c>
      <c r="Y39" s="28">
        <f t="shared" si="13"/>
        <v>10160</v>
      </c>
      <c r="Z39" s="28">
        <v>40000</v>
      </c>
      <c r="AA39" s="28">
        <f t="shared" si="14"/>
        <v>22570</v>
      </c>
      <c r="AB39" s="28">
        <f t="shared" si="15"/>
        <v>245290</v>
      </c>
      <c r="AC39" s="52">
        <f t="shared" si="16"/>
        <v>2012625.8333333335</v>
      </c>
      <c r="AD39" s="253">
        <f t="shared" si="11"/>
        <v>2943480</v>
      </c>
      <c r="AE39">
        <v>12</v>
      </c>
    </row>
    <row r="40" spans="1:30" ht="21" customHeight="1" thickBot="1">
      <c r="A40" s="1043" t="s">
        <v>402</v>
      </c>
      <c r="B40" s="1044"/>
      <c r="C40" s="44"/>
      <c r="D40" s="45"/>
      <c r="E40" s="46">
        <f>SUM(E3:E39)</f>
        <v>70335000</v>
      </c>
      <c r="F40" s="46"/>
      <c r="G40" s="47">
        <f aca="true" t="shared" si="84" ref="G40:P40">SUM(G3:G39)</f>
        <v>475677000</v>
      </c>
      <c r="H40" s="47">
        <f t="shared" si="84"/>
        <v>46928400</v>
      </c>
      <c r="I40" s="47">
        <f t="shared" si="84"/>
        <v>3600000</v>
      </c>
      <c r="J40" s="47">
        <f t="shared" si="84"/>
        <v>157920190</v>
      </c>
      <c r="K40" s="47">
        <f t="shared" si="84"/>
        <v>7480000</v>
      </c>
      <c r="L40" s="47">
        <f t="shared" si="84"/>
        <v>25200000</v>
      </c>
      <c r="M40" s="47">
        <f t="shared" si="84"/>
        <v>7680000</v>
      </c>
      <c r="N40" s="189">
        <f t="shared" si="84"/>
        <v>724485590</v>
      </c>
      <c r="O40" s="372">
        <f t="shared" si="84"/>
        <v>724485590</v>
      </c>
      <c r="P40" s="372">
        <f t="shared" si="84"/>
        <v>248808590</v>
      </c>
      <c r="Q40" s="1043" t="s">
        <v>402</v>
      </c>
      <c r="R40" s="1044"/>
      <c r="S40" s="44"/>
      <c r="T40" s="44"/>
      <c r="U40" s="47">
        <f aca="true" t="shared" si="85" ref="U40:AC40">SUM(U3:U39)</f>
        <v>60373799.16666667</v>
      </c>
      <c r="V40" s="47">
        <f t="shared" si="85"/>
        <v>1780920</v>
      </c>
      <c r="W40" s="47">
        <f t="shared" si="85"/>
        <v>116530</v>
      </c>
      <c r="X40" s="47">
        <f t="shared" si="85"/>
        <v>2716730</v>
      </c>
      <c r="Y40" s="47">
        <f t="shared" si="85"/>
        <v>271590</v>
      </c>
      <c r="Z40" s="47">
        <f t="shared" si="85"/>
        <v>840000</v>
      </c>
      <c r="AA40" s="47">
        <f t="shared" si="85"/>
        <v>603610</v>
      </c>
      <c r="AB40" s="47">
        <f t="shared" si="85"/>
        <v>6329380</v>
      </c>
      <c r="AC40" s="51">
        <f t="shared" si="85"/>
        <v>48509230</v>
      </c>
      <c r="AD40" s="253">
        <f>SUM(AD3:AD39)</f>
        <v>75952560</v>
      </c>
    </row>
    <row r="41" spans="1:29" ht="22.5" customHeight="1" thickBot="1">
      <c r="A41" s="1045" t="s">
        <v>403</v>
      </c>
      <c r="B41" s="1046"/>
      <c r="C41" s="1046"/>
      <c r="D41" s="1046"/>
      <c r="E41" s="1046"/>
      <c r="F41" s="1046"/>
      <c r="G41" s="1047"/>
      <c r="H41" s="472">
        <f>N40</f>
        <v>724485590</v>
      </c>
      <c r="I41" s="288"/>
      <c r="J41" s="48"/>
      <c r="K41" s="48"/>
      <c r="L41" s="48"/>
      <c r="M41" s="48"/>
      <c r="N41" s="48"/>
      <c r="O41" s="48"/>
      <c r="P41" s="48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20.25" customHeight="1">
      <c r="A42" s="1027" t="s">
        <v>404</v>
      </c>
      <c r="B42" s="1028"/>
      <c r="C42" s="1026">
        <f>N40</f>
        <v>724485590</v>
      </c>
      <c r="D42" s="1026"/>
      <c r="E42" s="32">
        <v>0.08333333333333333</v>
      </c>
      <c r="F42" s="32"/>
      <c r="G42" s="503"/>
      <c r="H42" s="33">
        <f>ROUNDDOWN((C42*E42),-1)</f>
        <v>60373790</v>
      </c>
      <c r="I42" s="289">
        <f>E3+E5+E7+E9+E11+E12+E14+E16+E18+E19+E21+E29+E31+E33+E35+E38+E39</f>
        <v>32218000</v>
      </c>
      <c r="J42" s="327">
        <f>E3+E5+E7+E9+E11+E12+E18+E31+E35+E39+E14+E16+E29+E27+E28+E19+E21+E23+E25+E33+E37</f>
        <v>39168000</v>
      </c>
      <c r="K42" s="1052">
        <f>J42*0.5</f>
        <v>19584000</v>
      </c>
      <c r="L42" s="1052"/>
      <c r="M42" s="296">
        <f>K42*0.5</f>
        <v>9792000</v>
      </c>
      <c r="N42" s="11"/>
      <c r="O42" s="11"/>
      <c r="P42" s="11"/>
      <c r="Q42" s="20"/>
      <c r="R42" s="11"/>
      <c r="S42" s="11"/>
      <c r="T42" s="11"/>
      <c r="U42" s="15"/>
      <c r="V42" s="15"/>
      <c r="W42" s="15"/>
      <c r="X42" s="21"/>
      <c r="Y42" s="21"/>
      <c r="Z42" s="21"/>
      <c r="AA42" s="21"/>
      <c r="AB42" s="21"/>
      <c r="AC42" s="21"/>
    </row>
    <row r="43" spans="1:29" ht="20.25" customHeight="1">
      <c r="A43" s="1024" t="s">
        <v>405</v>
      </c>
      <c r="B43" s="1025"/>
      <c r="C43" s="1029">
        <f>N40</f>
        <v>724485590</v>
      </c>
      <c r="D43" s="1029"/>
      <c r="E43" s="26">
        <v>0.0295</v>
      </c>
      <c r="F43" s="26"/>
      <c r="G43" s="27"/>
      <c r="H43" s="34">
        <f>ROUNDDOWN((C43*E43),-1)</f>
        <v>21372320</v>
      </c>
      <c r="I43" s="289" t="e">
        <f>E4+E6+E8+E10+E11+E13+E15+E17+E19+E21+E24+E30+E32+E34+E36+#REF!+E39+E25+E27+E28+E18</f>
        <v>#REF!</v>
      </c>
      <c r="J43" s="327">
        <f>E4+E6+E8+E10+E11+E13+E18+E20+E22+E30+E32+E34+E39+E15+E17+E38+E24+E26+E27+E28+E36</f>
        <v>40340000</v>
      </c>
      <c r="K43" s="1052">
        <f>J43*0.5</f>
        <v>20170000</v>
      </c>
      <c r="L43" s="1053"/>
      <c r="M43" s="296">
        <f>K43*0.5</f>
        <v>10085000</v>
      </c>
      <c r="N43" s="11"/>
      <c r="O43" s="11"/>
      <c r="P43" s="11"/>
      <c r="Q43" s="16"/>
      <c r="R43" s="12"/>
      <c r="S43" s="12"/>
      <c r="T43" s="12"/>
      <c r="U43" s="15"/>
      <c r="V43" s="15"/>
      <c r="W43" s="15"/>
      <c r="X43" s="21"/>
      <c r="Y43" s="21"/>
      <c r="Z43" s="21"/>
      <c r="AA43" s="21"/>
      <c r="AB43" s="21"/>
      <c r="AC43" s="21"/>
    </row>
    <row r="44" spans="1:29" ht="20.25" customHeight="1">
      <c r="A44" s="1024" t="s">
        <v>406</v>
      </c>
      <c r="B44" s="1025"/>
      <c r="C44" s="1029">
        <f>H43</f>
        <v>21372320</v>
      </c>
      <c r="D44" s="1029"/>
      <c r="E44" s="26">
        <v>0.0655</v>
      </c>
      <c r="F44" s="26"/>
      <c r="G44" s="27"/>
      <c r="H44" s="34">
        <f aca="true" t="shared" si="86" ref="H44:H47">ROUNDDOWN((C44*E44),-1)</f>
        <v>1399880</v>
      </c>
      <c r="I44" s="290"/>
      <c r="J44" s="327">
        <f>SUM(J42:J43)</f>
        <v>79508000</v>
      </c>
      <c r="K44" s="328">
        <f>SUM(K42:K43)</f>
        <v>39754000</v>
      </c>
      <c r="L44" s="329">
        <f>SUM(K44)</f>
        <v>39754000</v>
      </c>
      <c r="M44" s="298">
        <f>SUM(M42:M43)</f>
        <v>19877000</v>
      </c>
      <c r="N44" s="11"/>
      <c r="O44" s="11"/>
      <c r="P44" s="11"/>
      <c r="Q44" s="16"/>
      <c r="R44" s="12"/>
      <c r="S44" s="12"/>
      <c r="T44" s="12"/>
      <c r="U44" s="15"/>
      <c r="V44" s="15"/>
      <c r="W44" s="15"/>
      <c r="X44" s="21"/>
      <c r="Y44" s="21"/>
      <c r="Z44" s="21"/>
      <c r="AA44" s="21"/>
      <c r="AB44" s="21"/>
      <c r="AC44" s="21"/>
    </row>
    <row r="45" spans="1:29" ht="20.25" customHeight="1">
      <c r="A45" s="1024" t="s">
        <v>407</v>
      </c>
      <c r="B45" s="1025"/>
      <c r="C45" s="1029">
        <f>C42</f>
        <v>724485590</v>
      </c>
      <c r="D45" s="1029"/>
      <c r="E45" s="26">
        <v>0.045</v>
      </c>
      <c r="F45" s="29"/>
      <c r="G45" s="27"/>
      <c r="H45" s="34">
        <f t="shared" si="86"/>
        <v>32601850</v>
      </c>
      <c r="I45" s="290"/>
      <c r="J45" s="327">
        <f>H41+H48</f>
        <v>851680290</v>
      </c>
      <c r="K45" s="297"/>
      <c r="L45" s="329">
        <f>L44-H40</f>
        <v>-7174400</v>
      </c>
      <c r="M45" s="297"/>
      <c r="N45" s="12"/>
      <c r="O45" s="12"/>
      <c r="P45" s="12"/>
      <c r="Q45" s="16"/>
      <c r="R45" s="12"/>
      <c r="S45" s="12"/>
      <c r="T45" s="12"/>
      <c r="U45" s="15"/>
      <c r="V45" s="15"/>
      <c r="W45" s="15"/>
      <c r="X45" s="21"/>
      <c r="Y45" s="21"/>
      <c r="Z45" s="21"/>
      <c r="AA45" s="21"/>
      <c r="AB45" s="21"/>
      <c r="AC45" s="21"/>
    </row>
    <row r="46" spans="1:29" ht="20.25" customHeight="1">
      <c r="A46" s="1024" t="s">
        <v>408</v>
      </c>
      <c r="B46" s="1025"/>
      <c r="C46" s="1029">
        <f>C42</f>
        <v>724485590</v>
      </c>
      <c r="D46" s="1029"/>
      <c r="E46" s="26">
        <v>0.0078</v>
      </c>
      <c r="F46" s="29"/>
      <c r="G46" s="502"/>
      <c r="H46" s="34">
        <f t="shared" si="86"/>
        <v>5650980</v>
      </c>
      <c r="I46" s="290"/>
      <c r="J46" s="304"/>
      <c r="K46" s="297"/>
      <c r="L46" s="297"/>
      <c r="M46" s="297"/>
      <c r="N46" s="12"/>
      <c r="O46" s="12"/>
      <c r="P46" s="12"/>
      <c r="Q46" s="16"/>
      <c r="R46" s="12"/>
      <c r="S46" s="12"/>
      <c r="T46" s="12"/>
      <c r="U46" s="15"/>
      <c r="V46" s="15"/>
      <c r="W46" s="15"/>
      <c r="X46" s="21"/>
      <c r="Y46" s="21"/>
      <c r="Z46" s="21"/>
      <c r="AA46" s="21"/>
      <c r="AB46" s="21"/>
      <c r="AC46" s="21"/>
    </row>
    <row r="47" spans="1:29" ht="20.25" customHeight="1">
      <c r="A47" s="1024" t="s">
        <v>409</v>
      </c>
      <c r="B47" s="1025"/>
      <c r="C47" s="1029">
        <f>C42</f>
        <v>724485590</v>
      </c>
      <c r="D47" s="1029"/>
      <c r="E47" s="26">
        <v>0.008</v>
      </c>
      <c r="F47" s="29"/>
      <c r="G47" s="502"/>
      <c r="H47" s="34">
        <f t="shared" si="86"/>
        <v>5795880</v>
      </c>
      <c r="I47" s="290"/>
      <c r="J47" s="304"/>
      <c r="K47" s="297"/>
      <c r="L47" s="297"/>
      <c r="M47" s="297"/>
      <c r="N47" s="12"/>
      <c r="O47" s="12"/>
      <c r="P47" s="12"/>
      <c r="Q47" s="16"/>
      <c r="R47" s="12"/>
      <c r="S47" s="12"/>
      <c r="T47" s="12"/>
      <c r="U47" s="15"/>
      <c r="V47" s="15"/>
      <c r="W47" s="15"/>
      <c r="X47" s="21"/>
      <c r="Y47" s="21"/>
      <c r="Z47" s="21"/>
      <c r="AA47" s="21"/>
      <c r="AB47" s="21"/>
      <c r="AC47" s="21"/>
    </row>
    <row r="48" spans="1:29" ht="20.25" customHeight="1" thickBot="1">
      <c r="A48" s="1048" t="s">
        <v>410</v>
      </c>
      <c r="B48" s="1049"/>
      <c r="C48" s="1050"/>
      <c r="D48" s="1051"/>
      <c r="E48" s="40"/>
      <c r="F48" s="40"/>
      <c r="G48" s="41"/>
      <c r="H48" s="42">
        <f>SUM(H42:H47)</f>
        <v>127194700</v>
      </c>
      <c r="I48" s="288"/>
      <c r="J48" s="300">
        <f>H41+H48</f>
        <v>851680290</v>
      </c>
      <c r="K48" s="299"/>
      <c r="L48" s="300"/>
      <c r="M48" s="300"/>
      <c r="N48" s="48"/>
      <c r="O48" s="48"/>
      <c r="P48" s="48"/>
      <c r="Q48" s="49"/>
      <c r="R48" s="49"/>
      <c r="S48" s="49"/>
      <c r="T48" s="49"/>
      <c r="U48" s="49"/>
      <c r="V48" s="49"/>
      <c r="W48" s="21"/>
      <c r="X48" s="21"/>
      <c r="Y48" s="21"/>
      <c r="Z48" s="21"/>
      <c r="AA48" s="21"/>
      <c r="AB48" s="21"/>
      <c r="AC48" s="21"/>
    </row>
    <row r="49" spans="1:29" ht="20.25" customHeight="1">
      <c r="A49" s="1018" t="s">
        <v>411</v>
      </c>
      <c r="B49" s="1019"/>
      <c r="C49" s="169" t="s">
        <v>412</v>
      </c>
      <c r="D49" s="169" t="s">
        <v>413</v>
      </c>
      <c r="E49" s="169" t="s">
        <v>414</v>
      </c>
      <c r="F49" s="169"/>
      <c r="G49" s="169" t="s">
        <v>415</v>
      </c>
      <c r="H49" s="320" t="s">
        <v>402</v>
      </c>
      <c r="I49" s="496"/>
      <c r="J49" s="301"/>
      <c r="K49" s="301"/>
      <c r="L49" s="301"/>
      <c r="M49" s="301"/>
      <c r="N49" s="49"/>
      <c r="O49" s="49"/>
      <c r="P49" s="49"/>
      <c r="Q49" s="49"/>
      <c r="R49" s="49"/>
      <c r="S49" s="49"/>
      <c r="T49" s="49"/>
      <c r="U49" s="49"/>
      <c r="V49" s="49"/>
      <c r="W49" s="21"/>
      <c r="X49" s="21"/>
      <c r="Y49" s="21"/>
      <c r="Z49" s="21"/>
      <c r="AA49" s="21"/>
      <c r="AB49" s="21"/>
      <c r="AC49" s="21"/>
    </row>
    <row r="50" spans="1:29" ht="20.25" customHeight="1">
      <c r="A50" s="1030" t="s">
        <v>416</v>
      </c>
      <c r="B50" s="1031"/>
      <c r="C50" s="1036" t="s">
        <v>417</v>
      </c>
      <c r="D50" s="1039">
        <v>39591000</v>
      </c>
      <c r="E50" s="1040"/>
      <c r="F50" s="498"/>
      <c r="G50" s="498"/>
      <c r="H50" s="234">
        <f>D50</f>
        <v>39591000</v>
      </c>
      <c r="I50" s="291"/>
      <c r="J50" s="301"/>
      <c r="K50" s="301"/>
      <c r="L50" s="301"/>
      <c r="M50" s="301"/>
      <c r="N50" s="49"/>
      <c r="O50" s="49"/>
      <c r="P50" s="49"/>
      <c r="Q50" s="49"/>
      <c r="R50" s="49"/>
      <c r="S50" s="49"/>
      <c r="T50" s="49"/>
      <c r="U50" s="49"/>
      <c r="V50" s="49"/>
      <c r="W50" s="21"/>
      <c r="X50" s="21"/>
      <c r="Y50" s="21"/>
      <c r="Z50" s="21"/>
      <c r="AA50" s="21"/>
      <c r="AB50" s="21"/>
      <c r="AC50" s="21"/>
    </row>
    <row r="51" spans="1:29" ht="20.25" customHeight="1">
      <c r="A51" s="1032"/>
      <c r="B51" s="1033"/>
      <c r="C51" s="1037"/>
      <c r="D51" s="23">
        <v>49416</v>
      </c>
      <c r="E51" s="23">
        <v>30</v>
      </c>
      <c r="F51" s="23"/>
      <c r="G51" s="23">
        <v>12</v>
      </c>
      <c r="H51" s="24">
        <f>D51*E51*G51</f>
        <v>17789760</v>
      </c>
      <c r="I51" s="292"/>
      <c r="J51" s="305"/>
      <c r="K51" s="301"/>
      <c r="L51" s="301"/>
      <c r="M51" s="301"/>
      <c r="N51" s="49"/>
      <c r="O51" s="49"/>
      <c r="P51" s="49"/>
      <c r="Q51" s="49"/>
      <c r="R51" s="49"/>
      <c r="S51" s="49"/>
      <c r="T51" s="49"/>
      <c r="U51" s="49"/>
      <c r="V51" s="49"/>
      <c r="W51" s="21"/>
      <c r="X51" s="21"/>
      <c r="Y51" s="21"/>
      <c r="Z51" s="21"/>
      <c r="AA51" s="21"/>
      <c r="AB51" s="21"/>
      <c r="AC51" s="21"/>
    </row>
    <row r="52" spans="1:29" ht="20.25" customHeight="1">
      <c r="A52" s="1032"/>
      <c r="B52" s="1033"/>
      <c r="C52" s="1037"/>
      <c r="D52" s="23">
        <v>49416</v>
      </c>
      <c r="E52" s="23">
        <v>30</v>
      </c>
      <c r="F52" s="23"/>
      <c r="G52" s="23"/>
      <c r="H52" s="24">
        <f>D52*E52*G52</f>
        <v>0</v>
      </c>
      <c r="I52" s="292"/>
      <c r="J52" s="305"/>
      <c r="K52" s="301"/>
      <c r="L52" s="301"/>
      <c r="M52" s="301"/>
      <c r="N52" s="49"/>
      <c r="O52" s="49"/>
      <c r="P52" s="49"/>
      <c r="Q52" s="49"/>
      <c r="R52" s="49"/>
      <c r="S52" s="49"/>
      <c r="T52" s="49"/>
      <c r="U52" s="49"/>
      <c r="V52" s="49"/>
      <c r="W52" s="21"/>
      <c r="X52" s="21"/>
      <c r="Y52" s="21"/>
      <c r="Z52" s="21"/>
      <c r="AA52" s="21"/>
      <c r="AB52" s="21"/>
      <c r="AC52" s="21"/>
    </row>
    <row r="53" spans="1:29" ht="20.25" customHeight="1">
      <c r="A53" s="1034"/>
      <c r="B53" s="1035"/>
      <c r="C53" s="1038"/>
      <c r="D53" s="23">
        <v>49416</v>
      </c>
      <c r="E53" s="23">
        <v>30</v>
      </c>
      <c r="F53" s="23"/>
      <c r="G53" s="23"/>
      <c r="H53" s="24">
        <f>D53*E53*G53</f>
        <v>0</v>
      </c>
      <c r="I53" s="292"/>
      <c r="J53" s="305"/>
      <c r="K53" s="301"/>
      <c r="L53" s="301"/>
      <c r="M53" s="301"/>
      <c r="N53" s="49"/>
      <c r="O53" s="49"/>
      <c r="P53" s="49"/>
      <c r="Q53" s="49"/>
      <c r="R53" s="49"/>
      <c r="S53" s="49"/>
      <c r="T53" s="49"/>
      <c r="U53" s="49"/>
      <c r="V53" s="49"/>
      <c r="W53" s="21"/>
      <c r="X53" s="21"/>
      <c r="Y53" s="21"/>
      <c r="Z53" s="21"/>
      <c r="AA53" s="21"/>
      <c r="AB53" s="21"/>
      <c r="AC53" s="21"/>
    </row>
    <row r="54" spans="1:29" ht="20.25" customHeight="1" thickBot="1">
      <c r="A54" s="1008" t="s">
        <v>402</v>
      </c>
      <c r="B54" s="1009"/>
      <c r="C54" s="321"/>
      <c r="D54" s="322"/>
      <c r="E54" s="322"/>
      <c r="F54" s="322"/>
      <c r="G54" s="322"/>
      <c r="H54" s="323">
        <f>SUM(H50:H53)</f>
        <v>57380760</v>
      </c>
      <c r="I54" s="293"/>
      <c r="J54" s="305"/>
      <c r="K54" s="302"/>
      <c r="L54" s="302"/>
      <c r="M54" s="30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ht="20.25" customHeight="1">
      <c r="A55" s="1012" t="s">
        <v>418</v>
      </c>
      <c r="B55" s="1013"/>
      <c r="C55" s="324" t="s">
        <v>412</v>
      </c>
      <c r="D55" s="324" t="s">
        <v>413</v>
      </c>
      <c r="E55" s="324" t="s">
        <v>414</v>
      </c>
      <c r="F55" s="324"/>
      <c r="G55" s="324" t="s">
        <v>415</v>
      </c>
      <c r="H55" s="325" t="s">
        <v>402</v>
      </c>
      <c r="I55" s="496"/>
      <c r="J55" s="305"/>
      <c r="K55" s="302"/>
      <c r="L55" s="302"/>
      <c r="M55" s="30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ht="20.25" customHeight="1">
      <c r="A56" s="1014" t="s">
        <v>419</v>
      </c>
      <c r="B56" s="1015"/>
      <c r="C56" s="1015" t="s">
        <v>420</v>
      </c>
      <c r="D56" s="23">
        <v>127882</v>
      </c>
      <c r="E56" s="23">
        <v>19</v>
      </c>
      <c r="F56" s="23"/>
      <c r="G56" s="23">
        <v>5</v>
      </c>
      <c r="H56" s="24">
        <f aca="true" t="shared" si="87" ref="H56:H61">ROUNDDOWN((D56*E56*G56),-1)</f>
        <v>12148790</v>
      </c>
      <c r="I56" s="292"/>
      <c r="J56" s="305"/>
      <c r="K56" s="302"/>
      <c r="L56" s="302"/>
      <c r="M56" s="302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20.25" customHeight="1">
      <c r="A57" s="1014"/>
      <c r="B57" s="1015"/>
      <c r="C57" s="1015"/>
      <c r="D57" s="23">
        <v>127882</v>
      </c>
      <c r="E57" s="23">
        <v>19</v>
      </c>
      <c r="F57" s="23"/>
      <c r="G57" s="23">
        <v>3</v>
      </c>
      <c r="H57" s="24">
        <f t="shared" si="87"/>
        <v>7289270</v>
      </c>
      <c r="I57" s="292"/>
      <c r="J57" s="305"/>
      <c r="K57" s="302"/>
      <c r="L57" s="302"/>
      <c r="M57" s="302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ht="20.25" customHeight="1">
      <c r="A58" s="1014"/>
      <c r="B58" s="1015"/>
      <c r="C58" s="1015"/>
      <c r="D58" s="23">
        <v>127882</v>
      </c>
      <c r="E58" s="23">
        <v>19</v>
      </c>
      <c r="F58" s="23"/>
      <c r="G58" s="23">
        <v>3</v>
      </c>
      <c r="H58" s="24">
        <f t="shared" si="87"/>
        <v>7289270</v>
      </c>
      <c r="I58" s="292"/>
      <c r="J58" s="305"/>
      <c r="K58" s="302"/>
      <c r="L58" s="302"/>
      <c r="M58" s="302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ht="20.25" customHeight="1">
      <c r="A59" s="1014" t="s">
        <v>421</v>
      </c>
      <c r="B59" s="1015"/>
      <c r="C59" s="1015" t="s">
        <v>420</v>
      </c>
      <c r="D59" s="23">
        <v>12996</v>
      </c>
      <c r="E59" s="23">
        <v>19</v>
      </c>
      <c r="F59" s="23"/>
      <c r="G59" s="23">
        <v>3</v>
      </c>
      <c r="H59" s="24">
        <f t="shared" si="87"/>
        <v>740770</v>
      </c>
      <c r="I59" s="292"/>
      <c r="J59" s="305"/>
      <c r="K59" s="302"/>
      <c r="L59" s="302"/>
      <c r="M59" s="302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ht="20.25" customHeight="1">
      <c r="A60" s="1014"/>
      <c r="B60" s="1015"/>
      <c r="C60" s="1015"/>
      <c r="D60" s="23">
        <v>12996</v>
      </c>
      <c r="E60" s="23">
        <v>19</v>
      </c>
      <c r="F60" s="23"/>
      <c r="G60" s="23">
        <v>3</v>
      </c>
      <c r="H60" s="24">
        <f t="shared" si="87"/>
        <v>740770</v>
      </c>
      <c r="I60" s="292"/>
      <c r="J60" s="305"/>
      <c r="K60" s="302"/>
      <c r="L60" s="302">
        <f>20*0.7</f>
        <v>14</v>
      </c>
      <c r="M60" s="302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ht="20.25" customHeight="1">
      <c r="A61" s="1014"/>
      <c r="B61" s="1015"/>
      <c r="C61" s="1015"/>
      <c r="D61" s="23">
        <v>12996</v>
      </c>
      <c r="E61" s="23">
        <v>19</v>
      </c>
      <c r="F61" s="23"/>
      <c r="G61" s="23">
        <v>3</v>
      </c>
      <c r="H61" s="24">
        <f t="shared" si="87"/>
        <v>740770</v>
      </c>
      <c r="I61" s="292"/>
      <c r="J61" s="305"/>
      <c r="K61" s="302"/>
      <c r="L61" s="302">
        <f>30*0.7</f>
        <v>21</v>
      </c>
      <c r="M61" s="302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ht="20.25" customHeight="1">
      <c r="A62" s="1016" t="s">
        <v>422</v>
      </c>
      <c r="B62" s="1017"/>
      <c r="C62" s="174"/>
      <c r="D62" s="231"/>
      <c r="E62" s="231"/>
      <c r="F62" s="231"/>
      <c r="G62" s="231"/>
      <c r="H62" s="232">
        <v>500000</v>
      </c>
      <c r="I62" s="292"/>
      <c r="J62" s="305"/>
      <c r="K62" s="302"/>
      <c r="L62" s="302">
        <v>9</v>
      </c>
      <c r="M62" s="302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ht="20.25" customHeight="1">
      <c r="A63" s="1014" t="s">
        <v>423</v>
      </c>
      <c r="B63" s="1015"/>
      <c r="C63" s="499" t="s">
        <v>417</v>
      </c>
      <c r="D63" s="23">
        <v>19189</v>
      </c>
      <c r="E63" s="23">
        <v>19</v>
      </c>
      <c r="F63" s="23"/>
      <c r="G63" s="23"/>
      <c r="H63" s="24">
        <f>D63*E63</f>
        <v>364591</v>
      </c>
      <c r="I63" s="292"/>
      <c r="J63" s="305"/>
      <c r="K63" s="302"/>
      <c r="L63" s="302"/>
      <c r="M63" s="302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20.25" customHeight="1">
      <c r="A64" s="1014" t="s">
        <v>424</v>
      </c>
      <c r="B64" s="1015"/>
      <c r="C64" s="499" t="s">
        <v>417</v>
      </c>
      <c r="D64" s="23">
        <v>25772</v>
      </c>
      <c r="E64" s="23">
        <v>19</v>
      </c>
      <c r="F64" s="23"/>
      <c r="G64" s="23"/>
      <c r="H64" s="24">
        <f>D64*E64</f>
        <v>489668</v>
      </c>
      <c r="I64" s="292"/>
      <c r="J64" s="305"/>
      <c r="K64" s="302"/>
      <c r="L64" s="302"/>
      <c r="M64" s="302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ht="20.25" customHeight="1">
      <c r="A65" s="1020" t="s">
        <v>425</v>
      </c>
      <c r="B65" s="1021"/>
      <c r="C65" s="925" t="s">
        <v>426</v>
      </c>
      <c r="D65" s="23">
        <v>26590</v>
      </c>
      <c r="E65" s="23">
        <v>19</v>
      </c>
      <c r="F65" s="23"/>
      <c r="G65" s="23"/>
      <c r="H65" s="24">
        <f>D65*E65</f>
        <v>505210</v>
      </c>
      <c r="I65" s="292"/>
      <c r="J65" s="305"/>
      <c r="K65" s="302"/>
      <c r="L65" s="302"/>
      <c r="M65" s="302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ht="20.25" customHeight="1">
      <c r="A66" s="1022"/>
      <c r="B66" s="1023"/>
      <c r="C66" s="1007"/>
      <c r="D66" s="23">
        <v>26590</v>
      </c>
      <c r="E66" s="23">
        <v>19</v>
      </c>
      <c r="F66" s="23"/>
      <c r="G66" s="23"/>
      <c r="H66" s="24">
        <f>D66*E66</f>
        <v>505210</v>
      </c>
      <c r="I66" s="292"/>
      <c r="J66" s="305"/>
      <c r="K66" s="302"/>
      <c r="L66" s="302"/>
      <c r="M66" s="302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ht="20.25" customHeight="1" thickBot="1">
      <c r="A67" s="1008" t="s">
        <v>402</v>
      </c>
      <c r="B67" s="1009"/>
      <c r="C67" s="321"/>
      <c r="D67" s="322"/>
      <c r="E67" s="322"/>
      <c r="F67" s="322"/>
      <c r="G67" s="322"/>
      <c r="H67" s="323">
        <f>SUM(H56:H66)</f>
        <v>31314319</v>
      </c>
      <c r="I67" s="293"/>
      <c r="J67" s="305"/>
      <c r="K67" s="302"/>
      <c r="L67" s="302"/>
      <c r="M67" s="302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ht="20.25" customHeight="1">
      <c r="A68" s="1018" t="s">
        <v>427</v>
      </c>
      <c r="B68" s="1019"/>
      <c r="C68" s="169" t="s">
        <v>412</v>
      </c>
      <c r="D68" s="169" t="s">
        <v>413</v>
      </c>
      <c r="E68" s="169" t="s">
        <v>414</v>
      </c>
      <c r="F68" s="169"/>
      <c r="G68" s="169" t="s">
        <v>415</v>
      </c>
      <c r="H68" s="320" t="s">
        <v>402</v>
      </c>
      <c r="I68" s="496"/>
      <c r="J68" s="305"/>
      <c r="K68" s="302"/>
      <c r="L68" s="302"/>
      <c r="M68" s="302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ht="20.25" customHeight="1">
      <c r="A69" s="1006" t="s">
        <v>428</v>
      </c>
      <c r="B69" s="1007"/>
      <c r="C69" s="498"/>
      <c r="D69" s="23">
        <v>50000</v>
      </c>
      <c r="E69" s="23">
        <v>30</v>
      </c>
      <c r="F69" s="185"/>
      <c r="G69" s="185"/>
      <c r="H69" s="24">
        <f>D69*E69</f>
        <v>1500000</v>
      </c>
      <c r="I69" s="292"/>
      <c r="J69" s="305"/>
      <c r="K69" s="302"/>
      <c r="L69" s="302"/>
      <c r="M69" s="302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ht="20.25" customHeight="1">
      <c r="A70" s="1006" t="s">
        <v>429</v>
      </c>
      <c r="B70" s="1007"/>
      <c r="C70" s="498"/>
      <c r="D70" s="23">
        <v>50000</v>
      </c>
      <c r="E70" s="23">
        <v>30</v>
      </c>
      <c r="F70" s="185"/>
      <c r="G70" s="185"/>
      <c r="H70" s="24">
        <f>D70*E70</f>
        <v>1500000</v>
      </c>
      <c r="I70" s="292"/>
      <c r="J70" s="305"/>
      <c r="K70" s="302"/>
      <c r="L70" s="302"/>
      <c r="M70" s="302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ht="20.25" customHeight="1">
      <c r="A71" s="1006" t="s">
        <v>430</v>
      </c>
      <c r="B71" s="1007"/>
      <c r="C71" s="498"/>
      <c r="D71" s="23">
        <v>15000</v>
      </c>
      <c r="E71" s="23">
        <v>30</v>
      </c>
      <c r="F71" s="185"/>
      <c r="G71" s="185"/>
      <c r="H71" s="24">
        <f>D71*E71</f>
        <v>450000</v>
      </c>
      <c r="I71" s="292"/>
      <c r="J71" s="305"/>
      <c r="K71" s="302"/>
      <c r="L71" s="302"/>
      <c r="M71" s="302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ht="20.25" customHeight="1">
      <c r="A72" s="497"/>
      <c r="B72" s="498" t="s">
        <v>431</v>
      </c>
      <c r="C72" s="498"/>
      <c r="D72" s="23">
        <v>15000</v>
      </c>
      <c r="E72" s="23">
        <v>30</v>
      </c>
      <c r="F72" s="185"/>
      <c r="G72" s="185"/>
      <c r="H72" s="24">
        <f>D72*E72</f>
        <v>450000</v>
      </c>
      <c r="I72" s="292"/>
      <c r="J72" s="305"/>
      <c r="K72" s="302"/>
      <c r="L72" s="302"/>
      <c r="M72" s="302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ht="13.5">
      <c r="A73" s="1006" t="s">
        <v>432</v>
      </c>
      <c r="B73" s="1007"/>
      <c r="C73" s="498"/>
      <c r="D73" s="23">
        <v>1500000</v>
      </c>
      <c r="E73" s="23">
        <v>1</v>
      </c>
      <c r="F73" s="185"/>
      <c r="G73" s="185"/>
      <c r="H73" s="24">
        <f>D73*E73</f>
        <v>1500000</v>
      </c>
      <c r="I73" s="292"/>
      <c r="J73" s="301"/>
      <c r="K73" s="302"/>
      <c r="L73" s="302"/>
      <c r="M73" s="302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ht="14.25" thickBot="1">
      <c r="A74" s="1008" t="s">
        <v>402</v>
      </c>
      <c r="B74" s="1009"/>
      <c r="C74" s="500"/>
      <c r="D74" s="500"/>
      <c r="E74" s="500"/>
      <c r="F74" s="500"/>
      <c r="G74" s="500"/>
      <c r="H74" s="326">
        <f>SUM(H69:H73)</f>
        <v>5400000</v>
      </c>
      <c r="I74" s="294"/>
      <c r="J74" s="300">
        <f>H54+H74</f>
        <v>62780760</v>
      </c>
      <c r="K74" s="302"/>
      <c r="L74" s="302"/>
      <c r="M74" s="302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ht="15" thickBot="1">
      <c r="A75" s="1010" t="s">
        <v>433</v>
      </c>
      <c r="B75" s="1011"/>
      <c r="C75" s="1011"/>
      <c r="D75" s="1011"/>
      <c r="E75" s="1011"/>
      <c r="F75" s="1011"/>
      <c r="G75" s="1011"/>
      <c r="H75" s="43">
        <f>H48+H54+H74+H41+H67</f>
        <v>945775369</v>
      </c>
      <c r="I75" s="295"/>
      <c r="J75" s="301"/>
      <c r="K75" s="302"/>
      <c r="L75" s="302"/>
      <c r="M75" s="302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0:13" ht="13.5">
      <c r="J76" s="303"/>
      <c r="K76" s="303"/>
      <c r="L76" s="303"/>
      <c r="M76" s="303"/>
    </row>
  </sheetData>
  <mergeCells count="44">
    <mergeCell ref="A1:N1"/>
    <mergeCell ref="Q1:AC1"/>
    <mergeCell ref="C45:D45"/>
    <mergeCell ref="C56:C58"/>
    <mergeCell ref="A56:B58"/>
    <mergeCell ref="A40:B40"/>
    <mergeCell ref="A41:G41"/>
    <mergeCell ref="A54:B54"/>
    <mergeCell ref="A48:B48"/>
    <mergeCell ref="C48:D48"/>
    <mergeCell ref="C44:D44"/>
    <mergeCell ref="C43:D43"/>
    <mergeCell ref="Q40:R40"/>
    <mergeCell ref="K42:L42"/>
    <mergeCell ref="K43:L43"/>
    <mergeCell ref="A47:B47"/>
    <mergeCell ref="C47:D47"/>
    <mergeCell ref="A49:B49"/>
    <mergeCell ref="A50:B53"/>
    <mergeCell ref="C50:C53"/>
    <mergeCell ref="D50:E50"/>
    <mergeCell ref="A46:B46"/>
    <mergeCell ref="C42:D42"/>
    <mergeCell ref="A43:B43"/>
    <mergeCell ref="A44:B44"/>
    <mergeCell ref="A42:B42"/>
    <mergeCell ref="A45:B45"/>
    <mergeCell ref="C46:D46"/>
    <mergeCell ref="A73:B73"/>
    <mergeCell ref="A74:B74"/>
    <mergeCell ref="A75:G75"/>
    <mergeCell ref="A55:B55"/>
    <mergeCell ref="A59:B61"/>
    <mergeCell ref="C59:C61"/>
    <mergeCell ref="A62:B62"/>
    <mergeCell ref="A63:B63"/>
    <mergeCell ref="A70:B70"/>
    <mergeCell ref="A68:B68"/>
    <mergeCell ref="A65:B66"/>
    <mergeCell ref="C65:C66"/>
    <mergeCell ref="A69:B69"/>
    <mergeCell ref="A67:B67"/>
    <mergeCell ref="A64:B64"/>
    <mergeCell ref="A71:B71"/>
  </mergeCells>
  <printOptions/>
  <pageMargins left="0.36" right="0.34" top="0.53" bottom="0.22" header="0.5" footer="0.17"/>
  <pageSetup horizontalDpi="600" verticalDpi="600" orientation="landscape" paperSize="9" scale="65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은혜원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경주온정마을</dc:creator>
  <cp:keywords/>
  <dc:description/>
  <cp:lastModifiedBy>과장_김춘희</cp:lastModifiedBy>
  <cp:lastPrinted>2013-03-06T08:49:02Z</cp:lastPrinted>
  <dcterms:created xsi:type="dcterms:W3CDTF">2006-12-18T12:23:09Z</dcterms:created>
  <dcterms:modified xsi:type="dcterms:W3CDTF">2013-03-13T05:42:11Z</dcterms:modified>
  <cp:category/>
  <cp:version/>
  <cp:contentType/>
  <cp:contentStatus/>
</cp:coreProperties>
</file>