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1760" windowHeight="9120" activeTab="0"/>
  </bookViews>
  <sheets>
    <sheet name="총괄 (2)" sheetId="14" r:id="rId1"/>
    <sheet name="총인건비" sheetId="7" state="hidden" r:id="rId2"/>
  </sheets>
  <definedNames>
    <definedName name="_xlnm.Print_Area" localSheetId="0">'총괄 (2)'!$A$1:$N$67</definedName>
    <definedName name="_xlnm.Print_Area" localSheetId="1">'총인건비'!$A$2:$O$78</definedName>
    <definedName name="_xlnm.Print_Titles" localSheetId="0">'총괄 (2)'!$1:$5</definedName>
  </definedNames>
  <calcPr calcId="125725"/>
</workbook>
</file>

<file path=xl/sharedStrings.xml><?xml version="1.0" encoding="utf-8"?>
<sst xmlns="http://schemas.openxmlformats.org/spreadsheetml/2006/main" count="274" uniqueCount="187">
  <si>
    <t>관</t>
  </si>
  <si>
    <t>항</t>
  </si>
  <si>
    <t>목</t>
  </si>
  <si>
    <t>피복비</t>
  </si>
  <si>
    <t>06.부채상환금</t>
  </si>
  <si>
    <t>07.잡지출</t>
  </si>
  <si>
    <t>03.사업비</t>
  </si>
  <si>
    <t>총   계</t>
  </si>
  <si>
    <t>01.입소자부담금수입</t>
  </si>
  <si>
    <t>01.사무비</t>
  </si>
  <si>
    <t>입소자부담금수입</t>
  </si>
  <si>
    <t>인건비</t>
  </si>
  <si>
    <t>급여</t>
  </si>
  <si>
    <t>04.보조금수입</t>
  </si>
  <si>
    <t>보조금수입</t>
  </si>
  <si>
    <t>제수당</t>
  </si>
  <si>
    <t>퇴직금및퇴직적립금</t>
  </si>
  <si>
    <t>사회보험부담비용</t>
  </si>
  <si>
    <t>05.후원금수입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</si>
  <si>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</si>
  <si>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</si>
  <si>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</si>
  <si>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</si>
  <si>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</si>
  <si>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</si>
  <si>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</si>
  <si>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</si>
  <si>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</si>
  <si>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</si>
  <si>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08.전입금</t>
  </si>
  <si>
    <t>공공요금</t>
  </si>
  <si>
    <t>전입금</t>
  </si>
  <si>
    <t>제세공과금</t>
  </si>
  <si>
    <t>법인전입금</t>
  </si>
  <si>
    <t>차량비</t>
  </si>
  <si>
    <t>09.이월금</t>
  </si>
  <si>
    <t>이월금</t>
  </si>
  <si>
    <t>시설비</t>
  </si>
  <si>
    <t>전년도이월금</t>
  </si>
  <si>
    <t>자산취득비</t>
  </si>
  <si>
    <t>시설장비유지비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</si>
  <si>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</si>
  <si>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</si>
  <si>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</si>
  <si>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</si>
  <si>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</si>
  <si>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</si>
  <si>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의료비</t>
  </si>
  <si>
    <t>장의비</t>
  </si>
  <si>
    <t>직업재활비</t>
  </si>
  <si>
    <t>자활사업비</t>
  </si>
  <si>
    <t>특별급식비</t>
  </si>
  <si>
    <t>연료비</t>
  </si>
  <si>
    <t>교육비</t>
  </si>
  <si>
    <t>학용품비</t>
  </si>
  <si>
    <t>도서구입비</t>
  </si>
  <si>
    <t>교통비</t>
  </si>
  <si>
    <t>수학여행비</t>
  </si>
  <si>
    <t>기타교육비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</si>
  <si>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</si>
  <si>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</si>
  <si>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</si>
  <si>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</si>
  <si>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</si>
  <si>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부채상환금</t>
  </si>
  <si>
    <t>원금상환금</t>
  </si>
  <si>
    <t>이자지불금</t>
  </si>
  <si>
    <t>잡지출</t>
  </si>
  <si>
    <t>예비비</t>
  </si>
  <si>
    <t>신규</t>
  </si>
  <si>
    <t>증감</t>
  </si>
  <si>
    <t>05.보조금반환</t>
  </si>
  <si>
    <t>보조금반환</t>
  </si>
  <si>
    <t>엘림소망의집</t>
  </si>
  <si>
    <t>(단위: 천원)</t>
  </si>
  <si>
    <t>금액</t>
  </si>
  <si>
    <t>비율(%)</t>
  </si>
  <si>
    <t>비율(%)</t>
  </si>
  <si>
    <t>08.과년도지출</t>
  </si>
  <si>
    <t>09.예비비</t>
  </si>
  <si>
    <t>과년도지출</t>
  </si>
  <si>
    <t>(차기이월금)</t>
  </si>
  <si>
    <t>2010년 월평균  직원 급여</t>
  </si>
  <si>
    <t>번호</t>
  </si>
  <si>
    <t>직 책</t>
  </si>
  <si>
    <t>성 명</t>
  </si>
  <si>
    <t>호 봉</t>
  </si>
  <si>
    <t>기본급</t>
  </si>
  <si>
    <t>개월</t>
  </si>
  <si>
    <t>기본급총액</t>
  </si>
  <si>
    <t>명절휴가비</t>
  </si>
  <si>
    <t>직책보조수당</t>
  </si>
  <si>
    <t>연장근로수당</t>
  </si>
  <si>
    <t>가족수당</t>
  </si>
  <si>
    <t>장려수당</t>
  </si>
  <si>
    <t>자격수당</t>
  </si>
  <si>
    <t>총    계</t>
  </si>
  <si>
    <t>월평균보수액</t>
  </si>
  <si>
    <t>국민건강</t>
  </si>
  <si>
    <t>장기요양</t>
  </si>
  <si>
    <t>국민연금</t>
  </si>
  <si>
    <t>고용보험</t>
  </si>
  <si>
    <t>식대비</t>
  </si>
  <si>
    <t>소득세</t>
  </si>
  <si>
    <t>공제계</t>
  </si>
  <si>
    <t>실수령액</t>
  </si>
  <si>
    <t>원장</t>
  </si>
  <si>
    <t>박세혁</t>
  </si>
  <si>
    <t>사회재활교사</t>
  </si>
  <si>
    <t>김춘희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</si>
  <si>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</si>
  <si>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</si>
  <si>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</si>
  <si>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</si>
  <si>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</si>
  <si>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</si>
  <si>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</si>
  <si>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</si>
  <si>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생활재활교사</t>
  </si>
  <si>
    <t>김민지</t>
  </si>
  <si>
    <t>손성호</t>
  </si>
  <si>
    <t>박민지</t>
  </si>
  <si>
    <t>정동민</t>
  </si>
  <si>
    <t>조리원</t>
  </si>
  <si>
    <t>김봉란</t>
  </si>
  <si>
    <t>서숙재</t>
  </si>
  <si>
    <t>위생원</t>
  </si>
  <si>
    <t>정안순</t>
  </si>
  <si>
    <t>물리치료사</t>
  </si>
  <si>
    <t>간호원</t>
  </si>
  <si>
    <t>양은하</t>
  </si>
  <si>
    <t>사무원</t>
  </si>
  <si>
    <t>황효섭</t>
  </si>
  <si>
    <t>계</t>
  </si>
  <si>
    <t>인    건    비</t>
  </si>
  <si>
    <t>퇴  직  금</t>
  </si>
  <si>
    <t>국민건강보험료</t>
  </si>
  <si>
    <t>장기요양보험료</t>
  </si>
  <si>
    <t>국민연금보험료</t>
  </si>
  <si>
    <t>산재보험료</t>
  </si>
  <si>
    <t>고용보험료</t>
  </si>
  <si>
    <t>총 인건비</t>
  </si>
  <si>
    <t xml:space="preserve"> 관리운영비</t>
  </si>
  <si>
    <t>구분</t>
  </si>
  <si>
    <t>기준</t>
  </si>
  <si>
    <t>인원</t>
  </si>
  <si>
    <t>개월</t>
  </si>
  <si>
    <t>ㅡ</t>
  </si>
  <si>
    <t>년</t>
  </si>
  <si>
    <t xml:space="preserve"> 생 계 비</t>
  </si>
  <si>
    <t>주식,부식,연료비</t>
  </si>
  <si>
    <t>월</t>
  </si>
  <si>
    <t>피복비</t>
  </si>
  <si>
    <t>장의비</t>
  </si>
  <si>
    <t>동내의</t>
  </si>
  <si>
    <t>월동대책비</t>
  </si>
  <si>
    <t>특별위로비</t>
  </si>
  <si>
    <t>연2회(추석)</t>
  </si>
  <si>
    <t>기타지원비</t>
  </si>
  <si>
    <t>캠프활동지원비</t>
  </si>
  <si>
    <t>의료비</t>
  </si>
  <si>
    <t>건강검진비</t>
  </si>
  <si>
    <t>특별부식비</t>
  </si>
  <si>
    <t>특별난방비</t>
  </si>
  <si>
    <t>정부보조 총운영비</t>
  </si>
  <si>
    <t>2013년 엘림소망의집 정부보조 소요액 파악 자료</t>
  </si>
  <si>
    <t>신규</t>
  </si>
  <si>
    <t>상담평가원</t>
  </si>
  <si>
    <t>박은정</t>
  </si>
  <si>
    <t>세      입</t>
  </si>
  <si>
    <t>세     출</t>
  </si>
  <si>
    <t>박세혁</t>
  </si>
  <si>
    <t>사무국장</t>
  </si>
  <si>
    <t>생활지도원</t>
  </si>
  <si>
    <t>작업치료사</t>
  </si>
  <si>
    <t>일용잡급</t>
  </si>
  <si>
    <t>02.재산조성비</t>
  </si>
  <si>
    <t>예산액</t>
  </si>
  <si>
    <t>김경찬</t>
  </si>
  <si>
    <r>
      <t>2014년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</si>
  <si>
    <t>전년도예산액</t>
  </si>
  <si>
    <t>시군구보조금</t>
  </si>
  <si>
    <t>기타보조금</t>
  </si>
  <si>
    <t>후원법인전입금</t>
  </si>
  <si>
    <t>-</t>
  </si>
  <si>
    <t>10.잡수입</t>
  </si>
  <si>
    <t>잡수입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</si>
</sst>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7" formatCode="0_ "/>
    <numFmt numFmtId="178" formatCode="#\ ?/2"/>
    <numFmt numFmtId="179" formatCode="_-* #,##0.0_-;\-* #,##0.0_-;_-* &quot;-&quot;?_-;_-@_-"/>
    <numFmt numFmtId="180" formatCode="#\ ???/???"/>
    <numFmt numFmtId="181" formatCode="0.0%"/>
    <numFmt numFmtId="183" formatCode="_-* #,##0_-;\-* #,##0_-;_-* &quot;-&quot;??_-;_-@_-"/>
  </numFmts>
  <fonts count="2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8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16"/>
      <color theme="0"/>
      <name val="굴림"/>
      <family val="3"/>
    </font>
    <font>
      <sz val="8"/>
      <color theme="0"/>
      <name val="굴림"/>
      <family val="3"/>
    </font>
    <font>
      <sz val="14"/>
      <color theme="0"/>
      <name val="굴림"/>
      <family val="3"/>
    </font>
    <font>
      <sz val="11"/>
      <color theme="0"/>
      <name val="굴림"/>
      <family val="3"/>
    </font>
    <font>
      <sz val="11"/>
      <color theme="0"/>
      <name val="돋움"/>
      <family val="3"/>
    </font>
    <font>
      <sz val="11"/>
      <color theme="1"/>
      <name val="굴림"/>
      <family val="3"/>
    </font>
    <font>
      <sz val="16"/>
      <color theme="1"/>
      <name val="굴림"/>
      <family val="3"/>
    </font>
    <font>
      <b/>
      <sz val="12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 style="thin"/>
      <right style="double"/>
      <top/>
      <bottom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double"/>
      <right/>
      <top style="thin"/>
      <bottom/>
    </border>
    <border>
      <left style="double"/>
      <right/>
      <top style="medium"/>
      <bottom/>
    </border>
    <border>
      <left style="double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 diagonalUp="1">
      <left style="medium"/>
      <right style="thin"/>
      <top style="thin"/>
      <bottom/>
      <diagonal style="thin"/>
    </border>
    <border diagonalUp="1">
      <left style="medium"/>
      <right style="thin"/>
      <top/>
      <bottom style="medium"/>
      <diagonal style="thin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2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1" fontId="3" fillId="0" borderId="0" xfId="20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41" fontId="5" fillId="0" borderId="1" xfId="20" applyFont="1" applyBorder="1" applyAlignment="1">
      <alignment horizontal="center" vertical="center"/>
    </xf>
    <xf numFmtId="41" fontId="4" fillId="0" borderId="1" xfId="20" applyFont="1" applyBorder="1" applyAlignment="1">
      <alignment horizontal="center" vertical="center"/>
    </xf>
    <xf numFmtId="41" fontId="4" fillId="0" borderId="2" xfId="2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83" fontId="5" fillId="0" borderId="1" xfId="0" applyNumberFormat="1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3" fontId="5" fillId="0" borderId="4" xfId="0" applyNumberFormat="1" applyFont="1" applyBorder="1" applyAlignment="1">
      <alignment horizontal="center" vertical="center" shrinkToFit="1"/>
    </xf>
    <xf numFmtId="41" fontId="5" fillId="0" borderId="5" xfId="0" applyNumberFormat="1" applyFont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41" fontId="6" fillId="2" borderId="11" xfId="0" applyNumberFormat="1" applyFont="1" applyFill="1" applyBorder="1" applyAlignment="1">
      <alignment vertical="center"/>
    </xf>
    <xf numFmtId="41" fontId="7" fillId="3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41" fontId="7" fillId="2" borderId="16" xfId="0" applyNumberFormat="1" applyFont="1" applyFill="1" applyBorder="1" applyAlignment="1">
      <alignment vertical="center"/>
    </xf>
    <xf numFmtId="183" fontId="7" fillId="2" borderId="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41" fontId="4" fillId="0" borderId="21" xfId="20" applyFont="1" applyBorder="1" applyAlignment="1">
      <alignment horizontal="center" vertical="center"/>
    </xf>
    <xf numFmtId="41" fontId="5" fillId="0" borderId="22" xfId="2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2" xfId="20" applyFont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41" fontId="5" fillId="0" borderId="1" xfId="0" applyNumberFormat="1" applyFont="1" applyBorder="1" applyAlignment="1">
      <alignment horizontal="left" vertical="center" shrinkToFit="1"/>
    </xf>
    <xf numFmtId="41" fontId="7" fillId="0" borderId="1" xfId="0" applyNumberFormat="1" applyFont="1" applyBorder="1" applyAlignment="1">
      <alignment horizontal="left" vertical="center" shrinkToFit="1"/>
    </xf>
    <xf numFmtId="41" fontId="4" fillId="0" borderId="1" xfId="0" applyNumberFormat="1" applyFont="1" applyBorder="1" applyAlignment="1">
      <alignment horizontal="left" vertical="center" shrinkToFit="1"/>
    </xf>
    <xf numFmtId="41" fontId="4" fillId="0" borderId="13" xfId="0" applyNumberFormat="1" applyFont="1" applyBorder="1" applyAlignment="1">
      <alignment horizontal="left" vertical="center" shrinkToFit="1"/>
    </xf>
    <xf numFmtId="41" fontId="6" fillId="0" borderId="1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1" fontId="4" fillId="0" borderId="19" xfId="20" applyFont="1" applyBorder="1" applyAlignment="1">
      <alignment horizontal="center" vertical="center"/>
    </xf>
    <xf numFmtId="41" fontId="4" fillId="0" borderId="34" xfId="20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41" fontId="5" fillId="0" borderId="22" xfId="2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/>
    </xf>
    <xf numFmtId="41" fontId="5" fillId="0" borderId="9" xfId="20" applyFont="1" applyFill="1" applyBorder="1" applyAlignment="1">
      <alignment horizontal="center" vertical="center"/>
    </xf>
    <xf numFmtId="41" fontId="7" fillId="0" borderId="2" xfId="20" applyFont="1" applyFill="1" applyBorder="1" applyAlignment="1">
      <alignment horizontal="center" vertical="center"/>
    </xf>
    <xf numFmtId="41" fontId="5" fillId="4" borderId="1" xfId="2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1" fontId="5" fillId="4" borderId="22" xfId="20" applyFont="1" applyFill="1" applyBorder="1" applyAlignment="1">
      <alignment horizontal="center" vertical="center"/>
    </xf>
    <xf numFmtId="41" fontId="5" fillId="4" borderId="9" xfId="2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 shrinkToFit="1"/>
    </xf>
    <xf numFmtId="183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20" applyFont="1" applyFill="1" applyBorder="1" applyAlignment="1">
      <alignment horizontal="center" vertical="center"/>
    </xf>
    <xf numFmtId="41" fontId="6" fillId="0" borderId="0" xfId="2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179" fontId="12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179" fontId="14" fillId="0" borderId="0" xfId="0" applyNumberFormat="1" applyFont="1" applyBorder="1" applyAlignment="1">
      <alignment horizontal="center" vertical="center" shrinkToFit="1"/>
    </xf>
    <xf numFmtId="41" fontId="15" fillId="0" borderId="0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center" vertical="center" shrinkToFit="1"/>
    </xf>
    <xf numFmtId="41" fontId="15" fillId="0" borderId="0" xfId="20" applyFont="1" applyBorder="1" applyAlignment="1">
      <alignment vertical="center"/>
    </xf>
    <xf numFmtId="41" fontId="7" fillId="4" borderId="2" xfId="2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1" fontId="5" fillId="5" borderId="22" xfId="20" applyFont="1" applyFill="1" applyBorder="1" applyAlignment="1">
      <alignment horizontal="center" vertical="center"/>
    </xf>
    <xf numFmtId="41" fontId="5" fillId="5" borderId="1" xfId="20" applyFont="1" applyFill="1" applyBorder="1" applyAlignment="1">
      <alignment horizontal="center" vertical="center"/>
    </xf>
    <xf numFmtId="41" fontId="5" fillId="5" borderId="9" xfId="20" applyFont="1" applyFill="1" applyBorder="1" applyAlignment="1">
      <alignment horizontal="center" vertical="center"/>
    </xf>
    <xf numFmtId="41" fontId="7" fillId="5" borderId="2" xfId="2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5" fillId="6" borderId="22" xfId="20" applyFont="1" applyFill="1" applyBorder="1" applyAlignment="1">
      <alignment horizontal="center" vertical="center"/>
    </xf>
    <xf numFmtId="41" fontId="5" fillId="6" borderId="1" xfId="20" applyFont="1" applyFill="1" applyBorder="1" applyAlignment="1">
      <alignment horizontal="center" vertical="center"/>
    </xf>
    <xf numFmtId="41" fontId="5" fillId="6" borderId="9" xfId="20" applyFont="1" applyFill="1" applyBorder="1" applyAlignment="1">
      <alignment horizontal="center" vertical="center"/>
    </xf>
    <xf numFmtId="41" fontId="7" fillId="6" borderId="2" xfId="2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41" fontId="6" fillId="2" borderId="13" xfId="20" applyFont="1" applyFill="1" applyBorder="1" applyAlignment="1">
      <alignment horizontal="center" vertical="center"/>
    </xf>
    <xf numFmtId="41" fontId="6" fillId="2" borderId="16" xfId="2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/>
    </xf>
    <xf numFmtId="41" fontId="17" fillId="0" borderId="0" xfId="20" applyFont="1" applyBorder="1" applyAlignment="1">
      <alignment horizontal="center" vertical="center" shrinkToFit="1"/>
    </xf>
    <xf numFmtId="41" fontId="13" fillId="0" borderId="0" xfId="0" applyNumberFormat="1" applyFont="1" applyBorder="1" applyAlignment="1">
      <alignment horizontal="center" vertical="center" shrinkToFit="1"/>
    </xf>
    <xf numFmtId="41" fontId="17" fillId="0" borderId="0" xfId="0" applyNumberFormat="1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41" fontId="7" fillId="0" borderId="40" xfId="2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horizontal="left" vertical="center" shrinkToFit="1"/>
    </xf>
    <xf numFmtId="41" fontId="7" fillId="0" borderId="7" xfId="0" applyNumberFormat="1" applyFont="1" applyBorder="1" applyAlignment="1">
      <alignment horizontal="left" vertical="center" shrinkToFit="1"/>
    </xf>
    <xf numFmtId="41" fontId="5" fillId="0" borderId="14" xfId="0" applyNumberFormat="1" applyFont="1" applyBorder="1" applyAlignment="1">
      <alignment horizontal="left" vertical="center" shrinkToFit="1"/>
    </xf>
    <xf numFmtId="41" fontId="5" fillId="0" borderId="6" xfId="0" applyNumberFormat="1" applyFont="1" applyBorder="1" applyAlignment="1">
      <alignment horizontal="left" vertical="center" shrinkToFit="1"/>
    </xf>
    <xf numFmtId="41" fontId="5" fillId="0" borderId="21" xfId="0" applyNumberFormat="1" applyFont="1" applyBorder="1" applyAlignment="1">
      <alignment horizontal="left" vertical="center" shrinkToFit="1"/>
    </xf>
    <xf numFmtId="41" fontId="7" fillId="0" borderId="21" xfId="0" applyNumberFormat="1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41" fontId="7" fillId="0" borderId="19" xfId="0" applyNumberFormat="1" applyFont="1" applyBorder="1" applyAlignment="1">
      <alignment horizontal="left" vertical="center" shrinkToFit="1"/>
    </xf>
    <xf numFmtId="41" fontId="7" fillId="0" borderId="35" xfId="0" applyNumberFormat="1" applyFont="1" applyBorder="1" applyAlignment="1">
      <alignment horizontal="left" vertical="center" shrinkToFit="1"/>
    </xf>
    <xf numFmtId="41" fontId="7" fillId="0" borderId="18" xfId="0" applyNumberFormat="1" applyFont="1" applyBorder="1" applyAlignment="1">
      <alignment horizontal="left" vertical="center" shrinkToFit="1"/>
    </xf>
    <xf numFmtId="0" fontId="7" fillId="0" borderId="4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1" fontId="7" fillId="0" borderId="45" xfId="0" applyNumberFormat="1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41" fontId="5" fillId="0" borderId="18" xfId="0" applyNumberFormat="1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41" fontId="5" fillId="0" borderId="45" xfId="0" applyNumberFormat="1" applyFont="1" applyBorder="1" applyAlignment="1">
      <alignment horizontal="left" vertical="center" shrinkToFit="1"/>
    </xf>
    <xf numFmtId="41" fontId="6" fillId="2" borderId="50" xfId="0" applyNumberFormat="1" applyFont="1" applyFill="1" applyBorder="1" applyAlignment="1">
      <alignment vertical="center"/>
    </xf>
    <xf numFmtId="41" fontId="6" fillId="0" borderId="21" xfId="0" applyNumberFormat="1" applyFont="1" applyBorder="1" applyAlignment="1">
      <alignment horizontal="left" vertical="center" shrinkToFit="1"/>
    </xf>
    <xf numFmtId="41" fontId="0" fillId="0" borderId="1" xfId="20" applyFont="1" applyBorder="1" applyAlignment="1">
      <alignment vertical="center" shrinkToFit="1"/>
    </xf>
    <xf numFmtId="41" fontId="19" fillId="0" borderId="1" xfId="20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41" fontId="5" fillId="7" borderId="22" xfId="20" applyFont="1" applyFill="1" applyBorder="1" applyAlignment="1">
      <alignment horizontal="center" vertical="center"/>
    </xf>
    <xf numFmtId="41" fontId="5" fillId="7" borderId="1" xfId="20" applyFont="1" applyFill="1" applyBorder="1" applyAlignment="1">
      <alignment horizontal="center" vertical="center"/>
    </xf>
    <xf numFmtId="41" fontId="5" fillId="7" borderId="9" xfId="20" applyFont="1" applyFill="1" applyBorder="1" applyAlignment="1">
      <alignment horizontal="center" vertical="center"/>
    </xf>
    <xf numFmtId="41" fontId="7" fillId="7" borderId="2" xfId="2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 shrinkToFit="1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41" fontId="7" fillId="0" borderId="22" xfId="2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5" borderId="20" xfId="0" applyFont="1" applyFill="1" applyBorder="1" applyAlignment="1">
      <alignment vertical="center" shrinkToFit="1"/>
    </xf>
    <xf numFmtId="0" fontId="5" fillId="5" borderId="21" xfId="0" applyFont="1" applyFill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41" fontId="7" fillId="0" borderId="2" xfId="0" applyNumberFormat="1" applyFont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5" fillId="0" borderId="8" xfId="0" applyFont="1" applyBorder="1" applyAlignment="1">
      <alignment horizontal="left" vertical="center" shrinkToFit="1"/>
    </xf>
    <xf numFmtId="41" fontId="5" fillId="0" borderId="4" xfId="0" applyNumberFormat="1" applyFont="1" applyBorder="1" applyAlignment="1">
      <alignment horizontal="left" vertical="center" shrinkToFit="1"/>
    </xf>
    <xf numFmtId="41" fontId="7" fillId="0" borderId="5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41" fontId="7" fillId="8" borderId="40" xfId="20" applyFont="1" applyFill="1" applyBorder="1" applyAlignment="1">
      <alignment horizontal="center" vertical="center"/>
    </xf>
    <xf numFmtId="0" fontId="5" fillId="0" borderId="56" xfId="0" applyFont="1" applyBorder="1" applyAlignment="1">
      <alignment horizontal="left" vertical="center" shrinkToFit="1"/>
    </xf>
    <xf numFmtId="0" fontId="0" fillId="0" borderId="57" xfId="0" applyBorder="1" applyAlignment="1">
      <alignment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41" fontId="5" fillId="0" borderId="13" xfId="0" applyNumberFormat="1" applyFont="1" applyBorder="1" applyAlignment="1">
      <alignment horizontal="left" vertical="center" shrinkToFit="1"/>
    </xf>
    <xf numFmtId="0" fontId="5" fillId="4" borderId="2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shrinkToFit="1"/>
    </xf>
    <xf numFmtId="0" fontId="5" fillId="0" borderId="59" xfId="0" applyFont="1" applyBorder="1" applyAlignment="1">
      <alignment horizontal="left" vertical="center" shrinkToFit="1"/>
    </xf>
    <xf numFmtId="41" fontId="7" fillId="0" borderId="45" xfId="0" applyNumberFormat="1" applyFont="1" applyBorder="1" applyAlignment="1">
      <alignment horizontal="right" vertical="center" shrinkToFit="1"/>
    </xf>
    <xf numFmtId="0" fontId="0" fillId="0" borderId="59" xfId="0" applyBorder="1" applyAlignment="1">
      <alignment vertical="center" shrinkToFit="1"/>
    </xf>
    <xf numFmtId="41" fontId="7" fillId="9" borderId="60" xfId="0" applyNumberFormat="1" applyFont="1" applyFill="1" applyBorder="1" applyAlignment="1">
      <alignment horizontal="center" vertical="center" shrinkToFit="1"/>
    </xf>
    <xf numFmtId="41" fontId="7" fillId="9" borderId="61" xfId="0" applyNumberFormat="1" applyFont="1" applyFill="1" applyBorder="1" applyAlignment="1">
      <alignment horizontal="center" vertical="center" shrinkToFit="1"/>
    </xf>
    <xf numFmtId="41" fontId="7" fillId="9" borderId="62" xfId="0" applyNumberFormat="1" applyFont="1" applyFill="1" applyBorder="1" applyAlignment="1">
      <alignment horizontal="center" vertical="center" shrinkToFit="1"/>
    </xf>
    <xf numFmtId="41" fontId="7" fillId="9" borderId="12" xfId="0" applyNumberFormat="1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right" vertical="center" shrinkToFit="1"/>
    </xf>
    <xf numFmtId="0" fontId="7" fillId="9" borderId="67" xfId="0" applyFont="1" applyFill="1" applyBorder="1" applyAlignment="1">
      <alignment horizontal="center" vertical="center" shrinkToFit="1"/>
    </xf>
    <xf numFmtId="0" fontId="7" fillId="9" borderId="68" xfId="0" applyFont="1" applyFill="1" applyBorder="1" applyAlignment="1">
      <alignment horizontal="center" vertical="center" shrinkToFit="1"/>
    </xf>
    <xf numFmtId="0" fontId="7" fillId="9" borderId="70" xfId="0" applyFont="1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4" xfId="2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41" fontId="5" fillId="0" borderId="1" xfId="2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1" fontId="4" fillId="0" borderId="7" xfId="20" applyFont="1" applyBorder="1" applyAlignment="1">
      <alignment horizontal="center" vertical="center"/>
    </xf>
    <xf numFmtId="41" fontId="4" fillId="0" borderId="9" xfId="2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workbookViewId="0" topLeftCell="A4">
      <selection activeCell="Q19" sqref="Q19"/>
    </sheetView>
  </sheetViews>
  <sheetFormatPr defaultColWidth="8.88671875" defaultRowHeight="13.5"/>
  <cols>
    <col min="1" max="1" width="8.88671875" style="81" customWidth="1"/>
    <col min="2" max="2" width="9.6640625" style="81" customWidth="1"/>
    <col min="3" max="3" width="10.77734375" style="81" customWidth="1"/>
    <col min="4" max="4" width="11.6640625" style="81" customWidth="1"/>
    <col min="5" max="5" width="10.6640625" style="81" customWidth="1"/>
    <col min="6" max="6" width="7.77734375" style="81" customWidth="1"/>
    <col min="7" max="7" width="5.10546875" style="81" customWidth="1"/>
    <col min="8" max="8" width="7.6640625" style="81" customWidth="1"/>
    <col min="9" max="9" width="8.10546875" style="81" customWidth="1"/>
    <col min="10" max="10" width="10.99609375" style="81" customWidth="1"/>
    <col min="11" max="11" width="11.88671875" style="81" customWidth="1"/>
    <col min="12" max="12" width="10.4453125" style="81" customWidth="1"/>
    <col min="13" max="13" width="8.3359375" style="81" customWidth="1"/>
    <col min="14" max="14" width="4.88671875" style="81" customWidth="1"/>
    <col min="15" max="16384" width="8.88671875" style="81" customWidth="1"/>
  </cols>
  <sheetData>
    <row r="1" spans="1:14" ht="27" customHeight="1">
      <c r="A1" s="246" t="s">
        <v>179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254" t="s">
        <v>74</v>
      </c>
      <c r="L2" s="254"/>
      <c r="M2" s="254"/>
      <c r="N2" s="254"/>
    </row>
    <row r="3" spans="1:14" ht="19.5" customHeight="1" thickBot="1">
      <c r="A3" s="251" t="s">
        <v>169</v>
      </c>
      <c r="B3" s="252"/>
      <c r="C3" s="252"/>
      <c r="D3" s="252"/>
      <c r="E3" s="252"/>
      <c r="F3" s="252"/>
      <c r="G3" s="253"/>
      <c r="H3" s="252" t="s">
        <v>170</v>
      </c>
      <c r="I3" s="252"/>
      <c r="J3" s="252"/>
      <c r="K3" s="252"/>
      <c r="L3" s="252"/>
      <c r="M3" s="252"/>
      <c r="N3" s="264"/>
    </row>
    <row r="4" spans="1:14" ht="15" customHeight="1">
      <c r="A4" s="261" t="s">
        <v>0</v>
      </c>
      <c r="B4" s="247" t="s">
        <v>1</v>
      </c>
      <c r="C4" s="249" t="s">
        <v>2</v>
      </c>
      <c r="D4" s="247" t="s">
        <v>177</v>
      </c>
      <c r="E4" s="247" t="s">
        <v>180</v>
      </c>
      <c r="F4" s="258" t="s">
        <v>70</v>
      </c>
      <c r="G4" s="259"/>
      <c r="H4" s="261" t="s">
        <v>0</v>
      </c>
      <c r="I4" s="247" t="s">
        <v>1</v>
      </c>
      <c r="J4" s="249" t="s">
        <v>2</v>
      </c>
      <c r="K4" s="247" t="str">
        <f>D4</f>
        <v>예산액</v>
      </c>
      <c r="L4" s="247" t="str">
        <f>E4</f>
        <v>전년도예산액</v>
      </c>
      <c r="M4" s="258" t="s">
        <v>70</v>
      </c>
      <c r="N4" s="260"/>
    </row>
    <row r="5" spans="1:14" ht="15" customHeight="1" thickBot="1">
      <c r="A5" s="262"/>
      <c r="B5" s="248"/>
      <c r="C5" s="250"/>
      <c r="D5" s="248"/>
      <c r="E5" s="248"/>
      <c r="F5" s="145" t="s">
        <v>75</v>
      </c>
      <c r="G5" s="151" t="s">
        <v>76</v>
      </c>
      <c r="H5" s="263"/>
      <c r="I5" s="248"/>
      <c r="J5" s="250"/>
      <c r="K5" s="248"/>
      <c r="L5" s="248"/>
      <c r="M5" s="145" t="s">
        <v>75</v>
      </c>
      <c r="N5" s="154" t="s">
        <v>77</v>
      </c>
    </row>
    <row r="6" spans="1:14" ht="27.75" customHeight="1" thickBot="1">
      <c r="A6" s="255" t="s">
        <v>7</v>
      </c>
      <c r="B6" s="256"/>
      <c r="C6" s="257"/>
      <c r="D6" s="236">
        <v>1049200.38</v>
      </c>
      <c r="E6" s="236">
        <v>1077100.229</v>
      </c>
      <c r="F6" s="236">
        <v>-27899.849000000162</v>
      </c>
      <c r="G6" s="237">
        <v>-2.590274168440473</v>
      </c>
      <c r="H6" s="256" t="s">
        <v>7</v>
      </c>
      <c r="I6" s="256"/>
      <c r="J6" s="257"/>
      <c r="K6" s="236">
        <v>1049200.02</v>
      </c>
      <c r="L6" s="236">
        <v>1077100.4100000001</v>
      </c>
      <c r="M6" s="238">
        <v>-27900.39000000013</v>
      </c>
      <c r="N6" s="239">
        <v>-2.5903239606045787</v>
      </c>
    </row>
    <row r="7" spans="1:14" ht="16.5" customHeight="1">
      <c r="A7" s="70" t="s">
        <v>8</v>
      </c>
      <c r="B7" s="146"/>
      <c r="C7" s="222"/>
      <c r="D7" s="144">
        <v>48972</v>
      </c>
      <c r="E7" s="144">
        <v>48972</v>
      </c>
      <c r="F7" s="144">
        <v>0</v>
      </c>
      <c r="G7" s="153">
        <v>0</v>
      </c>
      <c r="H7" s="147" t="s">
        <v>9</v>
      </c>
      <c r="I7" s="62"/>
      <c r="J7" s="147"/>
      <c r="K7" s="148">
        <v>840321.4</v>
      </c>
      <c r="L7" s="148">
        <v>914230.2900000002</v>
      </c>
      <c r="M7" s="150">
        <v>-73908.89000000013</v>
      </c>
      <c r="N7" s="149">
        <v>-8.084274915021709</v>
      </c>
    </row>
    <row r="8" spans="1:14" ht="16.5" customHeight="1">
      <c r="A8" s="70"/>
      <c r="B8" s="61" t="s">
        <v>10</v>
      </c>
      <c r="C8" s="55"/>
      <c r="D8" s="50">
        <v>48972</v>
      </c>
      <c r="E8" s="50">
        <v>48972</v>
      </c>
      <c r="F8" s="143">
        <v>0</v>
      </c>
      <c r="G8" s="162">
        <v>0</v>
      </c>
      <c r="H8" s="147"/>
      <c r="I8" s="61" t="s">
        <v>11</v>
      </c>
      <c r="J8" s="55"/>
      <c r="K8" s="50">
        <v>796705.4</v>
      </c>
      <c r="L8" s="50">
        <v>856370.2900000002</v>
      </c>
      <c r="M8" s="139">
        <v>-59664.89000000013</v>
      </c>
      <c r="N8" s="149">
        <v>-6.967183553273458</v>
      </c>
    </row>
    <row r="9" spans="1:14" ht="16.5" customHeight="1">
      <c r="A9" s="56"/>
      <c r="B9" s="58"/>
      <c r="C9" s="55" t="s">
        <v>10</v>
      </c>
      <c r="D9" s="50">
        <v>48972</v>
      </c>
      <c r="E9" s="50">
        <v>48972</v>
      </c>
      <c r="F9" s="143">
        <v>0</v>
      </c>
      <c r="G9" s="162">
        <v>0</v>
      </c>
      <c r="H9" s="147"/>
      <c r="I9" s="62"/>
      <c r="J9" s="55" t="s">
        <v>12</v>
      </c>
      <c r="K9" s="50">
        <v>445813</v>
      </c>
      <c r="L9" s="50">
        <v>475677</v>
      </c>
      <c r="M9" s="139">
        <v>-29864</v>
      </c>
      <c r="N9" s="149">
        <v>-6.278209793620476</v>
      </c>
    </row>
    <row r="10" spans="1:14" ht="16.5" customHeight="1">
      <c r="A10" s="71" t="s">
        <v>13</v>
      </c>
      <c r="B10" s="222"/>
      <c r="C10" s="49"/>
      <c r="D10" s="51">
        <v>918154.38</v>
      </c>
      <c r="E10" s="51">
        <v>954711.422</v>
      </c>
      <c r="F10" s="144">
        <v>-36557.042000000016</v>
      </c>
      <c r="G10" s="153">
        <v>-3.8291195808066902</v>
      </c>
      <c r="H10" s="147"/>
      <c r="I10" s="62"/>
      <c r="J10" s="55" t="s">
        <v>15</v>
      </c>
      <c r="K10" s="50">
        <v>238286.4</v>
      </c>
      <c r="L10" s="50">
        <v>46928.4</v>
      </c>
      <c r="M10" s="139">
        <v>191358</v>
      </c>
      <c r="N10" s="149">
        <v>407.7658731173447</v>
      </c>
    </row>
    <row r="11" spans="1:14" ht="16.5" customHeight="1">
      <c r="A11" s="233"/>
      <c r="B11" s="61" t="s">
        <v>14</v>
      </c>
      <c r="C11" s="155"/>
      <c r="D11" s="50">
        <v>918154.38</v>
      </c>
      <c r="E11" s="50">
        <v>954711.422</v>
      </c>
      <c r="F11" s="143">
        <v>-36557.042000000016</v>
      </c>
      <c r="G11" s="162">
        <v>-3.8291195808066902</v>
      </c>
      <c r="H11" s="147"/>
      <c r="I11" s="62"/>
      <c r="J11" s="55" t="s">
        <v>175</v>
      </c>
      <c r="K11" s="50">
        <v>0</v>
      </c>
      <c r="L11" s="50">
        <v>203880.19</v>
      </c>
      <c r="M11" s="139">
        <v>-203880.19</v>
      </c>
      <c r="N11" s="149">
        <v>-100</v>
      </c>
    </row>
    <row r="12" spans="1:14" ht="16.5" customHeight="1">
      <c r="A12" s="233"/>
      <c r="B12" s="62"/>
      <c r="C12" s="155" t="s">
        <v>181</v>
      </c>
      <c r="D12" s="50">
        <v>908154.38</v>
      </c>
      <c r="E12" s="50">
        <v>954711.422</v>
      </c>
      <c r="F12" s="143">
        <v>-46557.042000000016</v>
      </c>
      <c r="G12" s="162">
        <v>-4.876556509868593</v>
      </c>
      <c r="H12" s="147"/>
      <c r="I12" s="62"/>
      <c r="J12" s="55" t="s">
        <v>16</v>
      </c>
      <c r="K12" s="50">
        <v>54218</v>
      </c>
      <c r="L12" s="50">
        <v>60373.79</v>
      </c>
      <c r="M12" s="139">
        <v>-6155.790000000001</v>
      </c>
      <c r="N12" s="149">
        <v>-10.196129810634716</v>
      </c>
    </row>
    <row r="13" spans="1:14" ht="16.5" customHeight="1">
      <c r="A13" s="235"/>
      <c r="B13" s="58"/>
      <c r="C13" s="155" t="s">
        <v>182</v>
      </c>
      <c r="D13" s="50">
        <v>10000</v>
      </c>
      <c r="E13" s="50">
        <v>954711.422</v>
      </c>
      <c r="F13" s="143">
        <v>-944711.422</v>
      </c>
      <c r="G13" s="162">
        <v>-98.9525630709381</v>
      </c>
      <c r="H13" s="147"/>
      <c r="I13" s="62"/>
      <c r="J13" s="55" t="s">
        <v>17</v>
      </c>
      <c r="K13" s="50">
        <v>56163</v>
      </c>
      <c r="L13" s="50">
        <v>66820.91</v>
      </c>
      <c r="M13" s="139">
        <v>-10657.910000000003</v>
      </c>
      <c r="N13" s="149">
        <v>-15.949962369563664</v>
      </c>
    </row>
    <row r="14" spans="1:14" ht="16.5" customHeight="1">
      <c r="A14" s="71" t="s">
        <v>18</v>
      </c>
      <c r="B14" s="60"/>
      <c r="C14" s="49"/>
      <c r="D14" s="51">
        <v>14000</v>
      </c>
      <c r="E14" s="51">
        <v>14000</v>
      </c>
      <c r="F14" s="144">
        <v>0</v>
      </c>
      <c r="G14" s="153">
        <v>0</v>
      </c>
      <c r="H14" s="147"/>
      <c r="I14" s="58"/>
      <c r="J14" s="55" t="s">
        <v>19</v>
      </c>
      <c r="K14" s="50">
        <v>2225</v>
      </c>
      <c r="L14" s="50">
        <v>2690</v>
      </c>
      <c r="M14" s="139">
        <v>-465</v>
      </c>
      <c r="N14" s="149">
        <v>-17.286245353159842</v>
      </c>
    </row>
    <row r="15" spans="1:14" ht="16.5" customHeight="1">
      <c r="A15" s="70"/>
      <c r="B15" s="63" t="s">
        <v>20</v>
      </c>
      <c r="C15" s="49"/>
      <c r="D15" s="50">
        <v>14000</v>
      </c>
      <c r="E15" s="50">
        <v>14000</v>
      </c>
      <c r="F15" s="143">
        <v>0</v>
      </c>
      <c r="G15" s="162">
        <v>0</v>
      </c>
      <c r="H15" s="147"/>
      <c r="I15" s="61" t="s">
        <v>21</v>
      </c>
      <c r="J15" s="49"/>
      <c r="K15" s="50">
        <v>2100</v>
      </c>
      <c r="L15" s="50">
        <v>2100</v>
      </c>
      <c r="M15" s="139">
        <v>0</v>
      </c>
      <c r="N15" s="149">
        <v>0</v>
      </c>
    </row>
    <row r="16" spans="1:14" ht="16.5" customHeight="1">
      <c r="A16" s="70"/>
      <c r="B16" s="64"/>
      <c r="C16" s="49" t="s">
        <v>22</v>
      </c>
      <c r="D16" s="50">
        <v>6000</v>
      </c>
      <c r="E16" s="50">
        <v>6000</v>
      </c>
      <c r="F16" s="143">
        <v>0</v>
      </c>
      <c r="G16" s="162">
        <v>0</v>
      </c>
      <c r="H16" s="147"/>
      <c r="I16" s="62"/>
      <c r="J16" s="49" t="s">
        <v>23</v>
      </c>
      <c r="K16" s="50">
        <v>900</v>
      </c>
      <c r="L16" s="50">
        <v>900</v>
      </c>
      <c r="M16" s="139">
        <v>0</v>
      </c>
      <c r="N16" s="149">
        <v>0</v>
      </c>
    </row>
    <row r="17" spans="1:14" ht="16.5" customHeight="1">
      <c r="A17" s="56"/>
      <c r="B17" s="59"/>
      <c r="C17" s="49" t="s">
        <v>24</v>
      </c>
      <c r="D17" s="50">
        <v>8000</v>
      </c>
      <c r="E17" s="50">
        <v>8000</v>
      </c>
      <c r="F17" s="143">
        <v>0</v>
      </c>
      <c r="G17" s="162">
        <v>0</v>
      </c>
      <c r="H17" s="147"/>
      <c r="I17" s="58"/>
      <c r="J17" s="49" t="s">
        <v>25</v>
      </c>
      <c r="K17" s="50">
        <v>1200</v>
      </c>
      <c r="L17" s="50">
        <v>1200</v>
      </c>
      <c r="M17" s="139">
        <v>0</v>
      </c>
      <c r="N17" s="149">
        <v>0</v>
      </c>
    </row>
    <row r="18" spans="1:14" ht="16.5" customHeight="1">
      <c r="A18" s="71" t="s">
        <v>29</v>
      </c>
      <c r="B18" s="60"/>
      <c r="C18" s="49"/>
      <c r="D18" s="51">
        <v>5000</v>
      </c>
      <c r="E18" s="51">
        <v>5000</v>
      </c>
      <c r="F18" s="143">
        <v>0</v>
      </c>
      <c r="G18" s="153">
        <v>0</v>
      </c>
      <c r="H18" s="147"/>
      <c r="I18" s="62" t="s">
        <v>26</v>
      </c>
      <c r="J18" s="49"/>
      <c r="K18" s="50">
        <v>41516</v>
      </c>
      <c r="L18" s="50">
        <v>55760</v>
      </c>
      <c r="M18" s="139">
        <v>-14244</v>
      </c>
      <c r="N18" s="149">
        <v>-25.54519368723099</v>
      </c>
    </row>
    <row r="19" spans="1:14" ht="15" customHeight="1">
      <c r="A19" s="233"/>
      <c r="B19" s="61" t="s">
        <v>31</v>
      </c>
      <c r="C19" s="155"/>
      <c r="D19" s="50">
        <v>5000</v>
      </c>
      <c r="E19" s="50">
        <v>5000</v>
      </c>
      <c r="F19" s="143">
        <v>0</v>
      </c>
      <c r="G19" s="153">
        <v>0</v>
      </c>
      <c r="H19" s="147"/>
      <c r="I19" s="62"/>
      <c r="J19" s="49" t="s">
        <v>27</v>
      </c>
      <c r="K19" s="50">
        <v>4600</v>
      </c>
      <c r="L19" s="50">
        <v>3600</v>
      </c>
      <c r="M19" s="139">
        <v>1000</v>
      </c>
      <c r="N19" s="149">
        <v>27.77777777777777</v>
      </c>
    </row>
    <row r="20" spans="1:14" ht="15" customHeight="1">
      <c r="A20" s="233"/>
      <c r="B20" s="62"/>
      <c r="C20" s="155" t="s">
        <v>33</v>
      </c>
      <c r="D20" s="50">
        <v>5000</v>
      </c>
      <c r="E20" s="50">
        <v>5000</v>
      </c>
      <c r="F20" s="143">
        <v>0</v>
      </c>
      <c r="G20" s="153">
        <v>0</v>
      </c>
      <c r="H20" s="147"/>
      <c r="I20" s="62"/>
      <c r="J20" s="49" t="s">
        <v>28</v>
      </c>
      <c r="K20" s="50">
        <v>15356</v>
      </c>
      <c r="L20" s="50">
        <v>10400</v>
      </c>
      <c r="M20" s="139">
        <v>4956</v>
      </c>
      <c r="N20" s="149">
        <v>47.65384615384616</v>
      </c>
    </row>
    <row r="21" spans="1:14" ht="15" customHeight="1">
      <c r="A21" s="233"/>
      <c r="B21" s="58"/>
      <c r="C21" s="152" t="s">
        <v>183</v>
      </c>
      <c r="D21" s="83"/>
      <c r="E21" s="83"/>
      <c r="F21" s="143">
        <v>0</v>
      </c>
      <c r="G21" s="234" t="s">
        <v>184</v>
      </c>
      <c r="H21" s="147"/>
      <c r="I21" s="62"/>
      <c r="J21" s="49" t="s">
        <v>30</v>
      </c>
      <c r="K21" s="50">
        <v>5160</v>
      </c>
      <c r="L21" s="50">
        <v>29160</v>
      </c>
      <c r="M21" s="139">
        <v>-24000</v>
      </c>
      <c r="N21" s="149">
        <v>-82.3045267489712</v>
      </c>
    </row>
    <row r="22" spans="1:14" ht="15" customHeight="1">
      <c r="A22" s="71" t="s">
        <v>35</v>
      </c>
      <c r="B22" s="60"/>
      <c r="C22" s="49"/>
      <c r="D22" s="144">
        <v>53000</v>
      </c>
      <c r="E22" s="144">
        <v>43391.807</v>
      </c>
      <c r="F22" s="143">
        <v>9608.193</v>
      </c>
      <c r="G22" s="153"/>
      <c r="H22" s="147"/>
      <c r="I22" s="62"/>
      <c r="J22" s="49" t="s">
        <v>32</v>
      </c>
      <c r="K22" s="50">
        <v>2600</v>
      </c>
      <c r="L22" s="50">
        <v>2600</v>
      </c>
      <c r="M22" s="139">
        <v>0</v>
      </c>
      <c r="N22" s="149">
        <v>0</v>
      </c>
    </row>
    <row r="23" spans="1:14" ht="18.75" customHeight="1">
      <c r="A23" s="70"/>
      <c r="B23" s="63" t="s">
        <v>36</v>
      </c>
      <c r="C23" s="49"/>
      <c r="D23" s="50">
        <v>53000</v>
      </c>
      <c r="E23" s="50">
        <v>43391.807</v>
      </c>
      <c r="F23" s="143">
        <v>9608.193</v>
      </c>
      <c r="G23" s="153"/>
      <c r="H23" s="147"/>
      <c r="I23" s="58"/>
      <c r="J23" s="49" t="s">
        <v>34</v>
      </c>
      <c r="K23" s="50">
        <v>10000</v>
      </c>
      <c r="L23" s="50">
        <v>10000</v>
      </c>
      <c r="M23" s="139">
        <v>0</v>
      </c>
      <c r="N23" s="149">
        <v>0</v>
      </c>
    </row>
    <row r="24" spans="1:14" ht="18.75" customHeight="1">
      <c r="A24" s="70"/>
      <c r="B24" s="58"/>
      <c r="C24" s="49" t="s">
        <v>38</v>
      </c>
      <c r="D24" s="50">
        <v>53000</v>
      </c>
      <c r="E24" s="50">
        <v>43391.807</v>
      </c>
      <c r="F24" s="143">
        <v>9608.193</v>
      </c>
      <c r="G24" s="153"/>
      <c r="H24" s="265" t="s">
        <v>176</v>
      </c>
      <c r="I24" s="60"/>
      <c r="J24" s="49"/>
      <c r="K24" s="51">
        <v>71600</v>
      </c>
      <c r="L24" s="51">
        <v>58100</v>
      </c>
      <c r="M24" s="140">
        <v>13500</v>
      </c>
      <c r="N24" s="149">
        <v>23.23580034423408</v>
      </c>
    </row>
    <row r="25" spans="1:14" ht="18.75" customHeight="1">
      <c r="A25" s="71" t="s">
        <v>185</v>
      </c>
      <c r="B25" s="60"/>
      <c r="C25" s="49"/>
      <c r="D25" s="51">
        <v>10074</v>
      </c>
      <c r="E25" s="51">
        <v>11025</v>
      </c>
      <c r="F25" s="144">
        <v>-951</v>
      </c>
      <c r="G25" s="153">
        <v>-8.625850340136054</v>
      </c>
      <c r="H25" s="266"/>
      <c r="I25" s="63" t="s">
        <v>37</v>
      </c>
      <c r="J25" s="49"/>
      <c r="K25" s="50">
        <v>71600</v>
      </c>
      <c r="L25" s="50">
        <v>58100</v>
      </c>
      <c r="M25" s="139">
        <v>13500</v>
      </c>
      <c r="N25" s="149">
        <v>23.23580034423408</v>
      </c>
    </row>
    <row r="26" spans="1:14" ht="18.75" customHeight="1">
      <c r="A26" s="70"/>
      <c r="B26" s="61" t="s">
        <v>186</v>
      </c>
      <c r="C26" s="155"/>
      <c r="D26" s="50">
        <v>10074</v>
      </c>
      <c r="E26" s="50">
        <v>11025</v>
      </c>
      <c r="F26" s="143">
        <v>-951</v>
      </c>
      <c r="G26" s="162">
        <v>-8.625850340136054</v>
      </c>
      <c r="H26" s="152"/>
      <c r="I26" s="156"/>
      <c r="J26" s="49" t="s">
        <v>37</v>
      </c>
      <c r="K26" s="50">
        <v>30000</v>
      </c>
      <c r="L26" s="50">
        <v>10000</v>
      </c>
      <c r="M26" s="139">
        <v>20000</v>
      </c>
      <c r="N26" s="149"/>
    </row>
    <row r="27" spans="1:14" ht="18.75" customHeight="1">
      <c r="A27" s="70"/>
      <c r="B27" s="62"/>
      <c r="C27" s="49" t="s">
        <v>41</v>
      </c>
      <c r="D27" s="50">
        <v>200</v>
      </c>
      <c r="E27" s="50">
        <v>200</v>
      </c>
      <c r="F27" s="50">
        <v>0</v>
      </c>
      <c r="G27" s="162"/>
      <c r="H27" s="67"/>
      <c r="I27" s="64"/>
      <c r="J27" s="49" t="s">
        <v>39</v>
      </c>
      <c r="K27" s="50">
        <v>33000</v>
      </c>
      <c r="L27" s="50">
        <v>43100</v>
      </c>
      <c r="M27" s="139">
        <v>-10100</v>
      </c>
      <c r="N27" s="149">
        <v>-23.43387470997679</v>
      </c>
    </row>
    <row r="28" spans="1:14" ht="18.75" customHeight="1">
      <c r="A28" s="70"/>
      <c r="B28" s="62"/>
      <c r="C28" s="157" t="s">
        <v>43</v>
      </c>
      <c r="D28" s="143">
        <v>254</v>
      </c>
      <c r="E28" s="143">
        <v>245</v>
      </c>
      <c r="F28" s="143">
        <v>9</v>
      </c>
      <c r="G28" s="162">
        <v>3.673469387755091</v>
      </c>
      <c r="H28" s="158"/>
      <c r="I28" s="59"/>
      <c r="J28" s="49" t="s">
        <v>40</v>
      </c>
      <c r="K28" s="50">
        <v>8600</v>
      </c>
      <c r="L28" s="50">
        <v>5000</v>
      </c>
      <c r="M28" s="139">
        <v>3600</v>
      </c>
      <c r="N28" s="149">
        <v>72</v>
      </c>
    </row>
    <row r="29" spans="1:14" ht="18.75" customHeight="1">
      <c r="A29" s="56"/>
      <c r="B29" s="58"/>
      <c r="C29" s="155" t="s">
        <v>45</v>
      </c>
      <c r="D29" s="50">
        <v>9620</v>
      </c>
      <c r="E29" s="50">
        <v>10580</v>
      </c>
      <c r="F29" s="143">
        <v>-960</v>
      </c>
      <c r="G29" s="162">
        <v>-9.073724007561438</v>
      </c>
      <c r="H29" s="224" t="s">
        <v>6</v>
      </c>
      <c r="I29" s="49"/>
      <c r="J29" s="49"/>
      <c r="K29" s="51">
        <v>130874.62</v>
      </c>
      <c r="L29" s="51">
        <v>99396.12</v>
      </c>
      <c r="M29" s="140">
        <v>31478.5</v>
      </c>
      <c r="N29" s="211">
        <v>31.669747269812945</v>
      </c>
    </row>
    <row r="30" spans="1:14" ht="18.75" customHeight="1">
      <c r="A30" s="242"/>
      <c r="B30" s="209"/>
      <c r="C30" s="209"/>
      <c r="D30" s="209"/>
      <c r="E30" s="209"/>
      <c r="F30" s="209"/>
      <c r="G30" s="210"/>
      <c r="H30" s="160"/>
      <c r="I30" s="61" t="s">
        <v>26</v>
      </c>
      <c r="J30" s="157"/>
      <c r="K30" s="143">
        <v>106344.62</v>
      </c>
      <c r="L30" s="143">
        <v>77566.12</v>
      </c>
      <c r="M30" s="159">
        <v>28778.5</v>
      </c>
      <c r="N30" s="149">
        <v>37.1018944869229</v>
      </c>
    </row>
    <row r="31" spans="1:14" ht="18.75" customHeight="1" thickBot="1">
      <c r="A31" s="243"/>
      <c r="B31" s="213"/>
      <c r="C31" s="213"/>
      <c r="D31" s="213"/>
      <c r="E31" s="213"/>
      <c r="F31" s="213"/>
      <c r="G31" s="214"/>
      <c r="H31" s="226"/>
      <c r="I31" s="227"/>
      <c r="J31" s="228" t="s">
        <v>44</v>
      </c>
      <c r="K31" s="229">
        <v>62344.62</v>
      </c>
      <c r="L31" s="229">
        <v>61766.12</v>
      </c>
      <c r="M31" s="229">
        <v>578.5</v>
      </c>
      <c r="N31" s="167">
        <v>0.9365976039939028</v>
      </c>
    </row>
    <row r="32" spans="1:14" ht="18.75" customHeight="1">
      <c r="A32" s="244"/>
      <c r="B32" s="215"/>
      <c r="C32" s="215"/>
      <c r="D32" s="215"/>
      <c r="E32" s="216"/>
      <c r="F32" s="216"/>
      <c r="G32" s="217"/>
      <c r="H32" s="225"/>
      <c r="I32" s="215"/>
      <c r="J32" s="218" t="s">
        <v>46</v>
      </c>
      <c r="K32" s="219">
        <v>7800</v>
      </c>
      <c r="L32" s="219">
        <v>7800</v>
      </c>
      <c r="M32" s="142">
        <v>0</v>
      </c>
      <c r="N32" s="220">
        <v>0</v>
      </c>
    </row>
    <row r="33" spans="1:14" ht="18.75" customHeight="1">
      <c r="A33" s="245"/>
      <c r="B33" s="156"/>
      <c r="C33" s="152"/>
      <c r="D33" s="156"/>
      <c r="E33" s="152"/>
      <c r="F33" s="156"/>
      <c r="G33" s="152"/>
      <c r="H33" s="67"/>
      <c r="I33" s="62"/>
      <c r="J33" s="157" t="s">
        <v>3</v>
      </c>
      <c r="K33" s="143">
        <v>6000</v>
      </c>
      <c r="L33" s="143">
        <v>5400</v>
      </c>
      <c r="M33" s="159">
        <v>600</v>
      </c>
      <c r="N33" s="149">
        <v>11.111111111111114</v>
      </c>
    </row>
    <row r="34" spans="1:14" ht="18.75" customHeight="1">
      <c r="A34" s="245"/>
      <c r="B34" s="209"/>
      <c r="C34" s="209"/>
      <c r="D34" s="209"/>
      <c r="E34" s="209"/>
      <c r="F34" s="209"/>
      <c r="G34" s="209"/>
      <c r="H34" s="212"/>
      <c r="I34" s="156"/>
      <c r="J34" s="157" t="s">
        <v>47</v>
      </c>
      <c r="K34" s="143">
        <v>2000</v>
      </c>
      <c r="L34" s="143">
        <v>2000</v>
      </c>
      <c r="M34" s="159">
        <v>0</v>
      </c>
      <c r="N34" s="149">
        <v>0</v>
      </c>
    </row>
    <row r="35" spans="1:14" ht="16.5" customHeight="1" hidden="1">
      <c r="A35" s="245"/>
      <c r="B35" s="156"/>
      <c r="C35" s="156"/>
      <c r="D35" s="156"/>
      <c r="E35" s="156"/>
      <c r="F35" s="209"/>
      <c r="G35" s="209"/>
      <c r="H35" s="160"/>
      <c r="I35" s="62"/>
      <c r="J35" s="157" t="s">
        <v>48</v>
      </c>
      <c r="K35" s="143">
        <v>600</v>
      </c>
      <c r="L35" s="143">
        <v>600</v>
      </c>
      <c r="M35" s="159">
        <v>0</v>
      </c>
      <c r="N35" s="149">
        <v>0</v>
      </c>
    </row>
    <row r="36" spans="1:14" ht="16.5" customHeight="1" hidden="1" thickBot="1">
      <c r="A36" s="245"/>
      <c r="B36" s="156"/>
      <c r="C36" s="156"/>
      <c r="D36" s="156"/>
      <c r="E36" s="156"/>
      <c r="F36" s="209"/>
      <c r="G36" s="209"/>
      <c r="H36" s="160"/>
      <c r="I36" s="62"/>
      <c r="J36" s="155" t="s">
        <v>49</v>
      </c>
      <c r="K36" s="50">
        <v>0</v>
      </c>
      <c r="L36" s="50">
        <v>0</v>
      </c>
      <c r="M36" s="139">
        <v>0</v>
      </c>
      <c r="N36" s="149"/>
    </row>
    <row r="37" spans="1:14" ht="16.5" customHeight="1" hidden="1">
      <c r="A37" s="245"/>
      <c r="B37" s="156"/>
      <c r="C37" s="156"/>
      <c r="D37" s="156"/>
      <c r="E37" s="156"/>
      <c r="F37" s="209"/>
      <c r="G37" s="209"/>
      <c r="H37" s="160"/>
      <c r="I37" s="62"/>
      <c r="J37" s="155" t="s">
        <v>50</v>
      </c>
      <c r="K37" s="50">
        <v>0</v>
      </c>
      <c r="L37" s="50">
        <v>0</v>
      </c>
      <c r="M37" s="139">
        <v>0</v>
      </c>
      <c r="N37" s="149"/>
    </row>
    <row r="38" spans="1:14" ht="16.5" customHeight="1" hidden="1">
      <c r="A38" s="245"/>
      <c r="B38" s="156"/>
      <c r="C38" s="156"/>
      <c r="D38" s="156"/>
      <c r="E38" s="156"/>
      <c r="F38" s="209"/>
      <c r="G38" s="209"/>
      <c r="H38" s="160"/>
      <c r="I38" s="62"/>
      <c r="J38" s="155" t="s">
        <v>51</v>
      </c>
      <c r="K38" s="50">
        <v>0</v>
      </c>
      <c r="L38" s="50">
        <v>0</v>
      </c>
      <c r="M38" s="139">
        <v>0</v>
      </c>
      <c r="N38" s="149"/>
    </row>
    <row r="39" spans="1:14" ht="16.5" customHeight="1">
      <c r="A39" s="245"/>
      <c r="B39" s="156"/>
      <c r="C39" s="156"/>
      <c r="D39" s="156"/>
      <c r="E39" s="156"/>
      <c r="F39" s="209"/>
      <c r="G39" s="209"/>
      <c r="H39" s="160"/>
      <c r="I39" s="58"/>
      <c r="J39" s="155" t="s">
        <v>52</v>
      </c>
      <c r="K39" s="50">
        <v>27600</v>
      </c>
      <c r="L39" s="50">
        <v>0</v>
      </c>
      <c r="M39" s="139">
        <v>27600</v>
      </c>
      <c r="N39" s="149"/>
    </row>
    <row r="40" spans="1:14" ht="16.5" customHeight="1">
      <c r="A40" s="245"/>
      <c r="B40" s="62"/>
      <c r="C40" s="62"/>
      <c r="D40" s="62"/>
      <c r="E40" s="62"/>
      <c r="F40" s="64"/>
      <c r="G40" s="64"/>
      <c r="H40" s="67"/>
      <c r="I40" s="63" t="s">
        <v>53</v>
      </c>
      <c r="J40" s="49"/>
      <c r="K40" s="50">
        <v>1080</v>
      </c>
      <c r="L40" s="50">
        <v>1080</v>
      </c>
      <c r="M40" s="139">
        <v>0</v>
      </c>
      <c r="N40" s="149"/>
    </row>
    <row r="41" spans="1:14" ht="16.5" customHeight="1">
      <c r="A41" s="245"/>
      <c r="B41" s="62"/>
      <c r="C41" s="62"/>
      <c r="D41" s="62"/>
      <c r="E41" s="62"/>
      <c r="F41" s="62"/>
      <c r="G41" s="60"/>
      <c r="H41" s="67"/>
      <c r="I41" s="64"/>
      <c r="J41" s="49" t="s">
        <v>54</v>
      </c>
      <c r="K41" s="50">
        <v>680</v>
      </c>
      <c r="L41" s="50">
        <v>680</v>
      </c>
      <c r="M41" s="139">
        <v>0</v>
      </c>
      <c r="N41" s="149"/>
    </row>
    <row r="42" spans="1:14" ht="16.5" customHeight="1">
      <c r="A42" s="245"/>
      <c r="B42" s="62"/>
      <c r="C42" s="62"/>
      <c r="D42" s="62"/>
      <c r="E42" s="62"/>
      <c r="F42" s="62"/>
      <c r="G42" s="60"/>
      <c r="H42" s="67"/>
      <c r="I42" s="64"/>
      <c r="J42" s="49" t="s">
        <v>55</v>
      </c>
      <c r="K42" s="50">
        <v>400</v>
      </c>
      <c r="L42" s="50">
        <v>400</v>
      </c>
      <c r="M42" s="139">
        <v>0</v>
      </c>
      <c r="N42" s="149"/>
    </row>
    <row r="43" spans="1:14" ht="16.5" customHeight="1" hidden="1">
      <c r="A43" s="245"/>
      <c r="B43" s="62"/>
      <c r="C43" s="62"/>
      <c r="D43" s="62"/>
      <c r="E43" s="62"/>
      <c r="F43" s="62"/>
      <c r="G43" s="60"/>
      <c r="H43" s="67"/>
      <c r="I43" s="64"/>
      <c r="J43" s="49" t="s">
        <v>56</v>
      </c>
      <c r="K43" s="50">
        <v>0</v>
      </c>
      <c r="L43" s="50">
        <v>0</v>
      </c>
      <c r="M43" s="139">
        <v>0</v>
      </c>
      <c r="N43" s="149"/>
    </row>
    <row r="44" spans="1:14" ht="16.5" customHeight="1" hidden="1">
      <c r="A44" s="245"/>
      <c r="B44" s="62"/>
      <c r="C44" s="62"/>
      <c r="D44" s="62"/>
      <c r="E44" s="62"/>
      <c r="F44" s="62"/>
      <c r="G44" s="60"/>
      <c r="H44" s="67"/>
      <c r="I44" s="64"/>
      <c r="J44" s="49" t="s">
        <v>57</v>
      </c>
      <c r="K44" s="50">
        <v>0</v>
      </c>
      <c r="L44" s="50">
        <v>0</v>
      </c>
      <c r="M44" s="139">
        <v>0</v>
      </c>
      <c r="N44" s="149"/>
    </row>
    <row r="45" spans="1:14" ht="18.75" customHeight="1" hidden="1">
      <c r="A45" s="245"/>
      <c r="B45" s="62"/>
      <c r="C45" s="62"/>
      <c r="D45" s="62"/>
      <c r="E45" s="62"/>
      <c r="F45" s="62"/>
      <c r="G45" s="60"/>
      <c r="H45" s="67"/>
      <c r="I45" s="38"/>
      <c r="J45" s="48" t="s">
        <v>58</v>
      </c>
      <c r="K45" s="52">
        <v>0</v>
      </c>
      <c r="L45" s="52">
        <v>0</v>
      </c>
      <c r="M45" s="139">
        <v>0</v>
      </c>
      <c r="N45" s="149"/>
    </row>
    <row r="46" spans="1:14" ht="18.75" customHeight="1">
      <c r="A46" s="245"/>
      <c r="B46" s="62"/>
      <c r="C46" s="62"/>
      <c r="D46" s="62"/>
      <c r="E46" s="62"/>
      <c r="F46" s="62"/>
      <c r="G46" s="60"/>
      <c r="H46" s="68"/>
      <c r="I46" s="240" t="s">
        <v>42</v>
      </c>
      <c r="J46" s="48"/>
      <c r="K46" s="52">
        <v>23450</v>
      </c>
      <c r="L46" s="52">
        <v>20750</v>
      </c>
      <c r="M46" s="139">
        <v>2700</v>
      </c>
      <c r="N46" s="149">
        <v>13.01204819277109</v>
      </c>
    </row>
    <row r="47" spans="1:14" ht="18.75" customHeight="1">
      <c r="A47" s="245"/>
      <c r="B47" s="62"/>
      <c r="C47" s="62"/>
      <c r="D47" s="62"/>
      <c r="E47" s="62"/>
      <c r="F47" s="62"/>
      <c r="G47" s="60"/>
      <c r="H47" s="68"/>
      <c r="I47" s="208"/>
      <c r="J47" s="48" t="s">
        <v>59</v>
      </c>
      <c r="K47" s="52">
        <v>7230</v>
      </c>
      <c r="L47" s="52">
        <v>5000</v>
      </c>
      <c r="M47" s="139">
        <v>2230</v>
      </c>
      <c r="N47" s="149">
        <v>44.599999999999994</v>
      </c>
    </row>
    <row r="48" spans="1:14" ht="18.75" customHeight="1">
      <c r="A48" s="245"/>
      <c r="B48" s="62"/>
      <c r="C48" s="62"/>
      <c r="D48" s="62"/>
      <c r="E48" s="62"/>
      <c r="F48" s="62"/>
      <c r="G48" s="60"/>
      <c r="H48" s="68"/>
      <c r="I48" s="208"/>
      <c r="J48" s="48" t="s">
        <v>60</v>
      </c>
      <c r="K48" s="52">
        <v>11680</v>
      </c>
      <c r="L48" s="52">
        <v>10904</v>
      </c>
      <c r="M48" s="139">
        <v>776</v>
      </c>
      <c r="N48" s="149">
        <v>7.116654438738067</v>
      </c>
    </row>
    <row r="49" spans="1:14" ht="18.75" customHeight="1">
      <c r="A49" s="245"/>
      <c r="B49" s="62"/>
      <c r="C49" s="62"/>
      <c r="D49" s="62"/>
      <c r="E49" s="62"/>
      <c r="F49" s="62"/>
      <c r="G49" s="60"/>
      <c r="H49" s="68"/>
      <c r="I49" s="208"/>
      <c r="J49" s="48" t="s">
        <v>61</v>
      </c>
      <c r="K49" s="52">
        <v>1290</v>
      </c>
      <c r="L49" s="52">
        <v>1346</v>
      </c>
      <c r="M49" s="139">
        <v>-56</v>
      </c>
      <c r="N49" s="149">
        <v>-4.160475482912332</v>
      </c>
    </row>
    <row r="50" spans="1:14" ht="18.75" customHeight="1">
      <c r="A50" s="245"/>
      <c r="B50" s="62"/>
      <c r="C50" s="62"/>
      <c r="D50" s="62"/>
      <c r="E50" s="62"/>
      <c r="F50" s="62"/>
      <c r="G50" s="60"/>
      <c r="H50" s="68"/>
      <c r="I50" s="208"/>
      <c r="J50" s="48" t="s">
        <v>62</v>
      </c>
      <c r="K50" s="52">
        <v>1000</v>
      </c>
      <c r="L50" s="52">
        <v>500</v>
      </c>
      <c r="M50" s="139">
        <v>500</v>
      </c>
      <c r="N50" s="149">
        <v>100</v>
      </c>
    </row>
    <row r="51" spans="1:14" ht="16.5" customHeight="1" hidden="1">
      <c r="A51" s="245"/>
      <c r="B51" s="62"/>
      <c r="C51" s="62"/>
      <c r="D51" s="62"/>
      <c r="E51" s="62"/>
      <c r="F51" s="62"/>
      <c r="G51" s="60"/>
      <c r="H51" s="161"/>
      <c r="I51" s="57"/>
      <c r="J51" s="42" t="s">
        <v>63</v>
      </c>
      <c r="K51" s="52" t="e">
        <v>#REF!</v>
      </c>
      <c r="L51" s="52">
        <v>3000</v>
      </c>
      <c r="M51" s="139" t="e">
        <v>#REF!</v>
      </c>
      <c r="N51" s="149" t="e">
        <v>#REF!</v>
      </c>
    </row>
    <row r="52" spans="1:14" ht="16.5" customHeight="1" hidden="1">
      <c r="A52" s="245"/>
      <c r="B52" s="39"/>
      <c r="C52" s="39"/>
      <c r="D52" s="39"/>
      <c r="E52" s="39"/>
      <c r="F52" s="39"/>
      <c r="G52" s="222"/>
      <c r="H52" s="69" t="s">
        <v>71</v>
      </c>
      <c r="I52" s="83"/>
      <c r="J52" s="83"/>
      <c r="K52" s="54">
        <v>0</v>
      </c>
      <c r="L52" s="54">
        <v>0</v>
      </c>
      <c r="M52" s="139">
        <v>0</v>
      </c>
      <c r="N52" s="149"/>
    </row>
    <row r="53" spans="1:14" ht="16.5" customHeight="1" hidden="1">
      <c r="A53" s="245"/>
      <c r="B53" s="39"/>
      <c r="C53" s="39"/>
      <c r="D53" s="39"/>
      <c r="E53" s="39"/>
      <c r="F53" s="39"/>
      <c r="G53" s="222"/>
      <c r="H53" s="68"/>
      <c r="I53" s="42" t="s">
        <v>72</v>
      </c>
      <c r="J53" s="48"/>
      <c r="K53" s="52">
        <v>0</v>
      </c>
      <c r="L53" s="52">
        <v>0</v>
      </c>
      <c r="M53" s="139">
        <v>0</v>
      </c>
      <c r="N53" s="149"/>
    </row>
    <row r="54" spans="1:14" ht="16.5" customHeight="1" hidden="1">
      <c r="A54" s="245"/>
      <c r="B54" s="39"/>
      <c r="C54" s="39"/>
      <c r="D54" s="39"/>
      <c r="E54" s="39"/>
      <c r="F54" s="39"/>
      <c r="G54" s="222"/>
      <c r="H54" s="68"/>
      <c r="I54" s="57"/>
      <c r="J54" s="48" t="s">
        <v>72</v>
      </c>
      <c r="K54" s="52">
        <v>0</v>
      </c>
      <c r="L54" s="52">
        <v>0</v>
      </c>
      <c r="M54" s="139">
        <v>0</v>
      </c>
      <c r="N54" s="149"/>
    </row>
    <row r="55" spans="1:14" ht="16.5" customHeight="1" hidden="1">
      <c r="A55" s="245"/>
      <c r="B55" s="39"/>
      <c r="C55" s="39"/>
      <c r="D55" s="39"/>
      <c r="E55" s="39"/>
      <c r="F55" s="39"/>
      <c r="G55" s="222"/>
      <c r="H55" s="69" t="s">
        <v>4</v>
      </c>
      <c r="I55" s="152"/>
      <c r="J55" s="48"/>
      <c r="K55" s="52">
        <v>0</v>
      </c>
      <c r="L55" s="52">
        <v>0</v>
      </c>
      <c r="M55" s="139">
        <v>0</v>
      </c>
      <c r="N55" s="149"/>
    </row>
    <row r="56" spans="1:14" ht="16.5" customHeight="1" hidden="1">
      <c r="A56" s="245"/>
      <c r="B56" s="39"/>
      <c r="C56" s="39"/>
      <c r="D56" s="39"/>
      <c r="E56" s="39"/>
      <c r="F56" s="39"/>
      <c r="G56" s="222"/>
      <c r="H56" s="68"/>
      <c r="I56" s="42" t="s">
        <v>64</v>
      </c>
      <c r="J56" s="48"/>
      <c r="K56" s="52">
        <v>0</v>
      </c>
      <c r="L56" s="52">
        <v>0</v>
      </c>
      <c r="M56" s="139">
        <v>0</v>
      </c>
      <c r="N56" s="149"/>
    </row>
    <row r="57" spans="1:14" ht="18.75" customHeight="1" hidden="1">
      <c r="A57" s="245"/>
      <c r="B57" s="39"/>
      <c r="C57" s="39"/>
      <c r="D57" s="39"/>
      <c r="E57" s="39"/>
      <c r="F57" s="39"/>
      <c r="G57" s="222"/>
      <c r="H57" s="68"/>
      <c r="I57" s="152"/>
      <c r="J57" s="48" t="s">
        <v>65</v>
      </c>
      <c r="K57" s="52">
        <v>0</v>
      </c>
      <c r="L57" s="52">
        <v>0</v>
      </c>
      <c r="M57" s="139">
        <v>0</v>
      </c>
      <c r="N57" s="149"/>
    </row>
    <row r="58" spans="1:14" ht="18.75" customHeight="1" hidden="1">
      <c r="A58" s="245"/>
      <c r="B58" s="39"/>
      <c r="C58" s="39"/>
      <c r="D58" s="39"/>
      <c r="E58" s="39"/>
      <c r="F58" s="39"/>
      <c r="G58" s="222"/>
      <c r="H58" s="68"/>
      <c r="I58" s="57"/>
      <c r="J58" s="48" t="s">
        <v>66</v>
      </c>
      <c r="K58" s="52">
        <v>0</v>
      </c>
      <c r="L58" s="52">
        <v>0</v>
      </c>
      <c r="M58" s="139">
        <v>0</v>
      </c>
      <c r="N58" s="149"/>
    </row>
    <row r="59" spans="1:14" ht="18.75" customHeight="1" hidden="1">
      <c r="A59" s="245"/>
      <c r="B59" s="39"/>
      <c r="C59" s="39"/>
      <c r="D59" s="39"/>
      <c r="E59" s="39"/>
      <c r="F59" s="39"/>
      <c r="G59" s="222"/>
      <c r="H59" s="69" t="s">
        <v>5</v>
      </c>
      <c r="I59" s="222"/>
      <c r="J59" s="48"/>
      <c r="K59" s="54">
        <v>350</v>
      </c>
      <c r="L59" s="54">
        <v>0</v>
      </c>
      <c r="M59" s="140">
        <v>350</v>
      </c>
      <c r="N59" s="149" t="e">
        <v>#DIV/0!</v>
      </c>
    </row>
    <row r="60" spans="1:14" ht="18.75" customHeight="1" hidden="1">
      <c r="A60" s="245"/>
      <c r="B60" s="39"/>
      <c r="C60" s="39"/>
      <c r="D60" s="39"/>
      <c r="E60" s="39"/>
      <c r="F60" s="39"/>
      <c r="G60" s="222"/>
      <c r="H60" s="68"/>
      <c r="I60" s="42" t="s">
        <v>67</v>
      </c>
      <c r="J60" s="48"/>
      <c r="K60" s="52">
        <v>350</v>
      </c>
      <c r="L60" s="52">
        <v>0</v>
      </c>
      <c r="M60" s="139">
        <v>350</v>
      </c>
      <c r="N60" s="149" t="e">
        <v>#DIV/0!</v>
      </c>
    </row>
    <row r="61" spans="1:14" ht="18.75" customHeight="1" hidden="1">
      <c r="A61" s="245"/>
      <c r="B61" s="39"/>
      <c r="C61" s="39"/>
      <c r="D61" s="39"/>
      <c r="E61" s="39"/>
      <c r="F61" s="39"/>
      <c r="G61" s="222"/>
      <c r="H61" s="68"/>
      <c r="I61" s="57"/>
      <c r="J61" s="48" t="s">
        <v>67</v>
      </c>
      <c r="K61" s="52">
        <v>350</v>
      </c>
      <c r="L61" s="52">
        <v>0</v>
      </c>
      <c r="M61" s="139">
        <v>350</v>
      </c>
      <c r="N61" s="149" t="e">
        <v>#DIV/0!</v>
      </c>
    </row>
    <row r="62" spans="1:14" ht="18.75" customHeight="1" hidden="1">
      <c r="A62" s="245"/>
      <c r="B62" s="39"/>
      <c r="C62" s="39"/>
      <c r="D62" s="39"/>
      <c r="E62" s="39"/>
      <c r="F62" s="39"/>
      <c r="G62" s="222"/>
      <c r="H62" s="69" t="s">
        <v>78</v>
      </c>
      <c r="I62" s="222"/>
      <c r="J62" s="48"/>
      <c r="K62" s="166">
        <v>0</v>
      </c>
      <c r="L62" s="166">
        <v>0</v>
      </c>
      <c r="M62" s="140">
        <v>0</v>
      </c>
      <c r="N62" s="149"/>
    </row>
    <row r="63" spans="1:14" ht="18.75" customHeight="1" hidden="1">
      <c r="A63" s="245"/>
      <c r="B63" s="39"/>
      <c r="C63" s="39"/>
      <c r="D63" s="39"/>
      <c r="E63" s="39"/>
      <c r="F63" s="39"/>
      <c r="G63" s="222"/>
      <c r="H63" s="68"/>
      <c r="I63" s="42" t="s">
        <v>80</v>
      </c>
      <c r="J63" s="48"/>
      <c r="K63" s="165">
        <v>0</v>
      </c>
      <c r="L63" s="165">
        <v>0</v>
      </c>
      <c r="M63" s="139">
        <v>0</v>
      </c>
      <c r="N63" s="149"/>
    </row>
    <row r="64" spans="1:14" ht="16.5" customHeight="1" hidden="1">
      <c r="A64" s="245"/>
      <c r="B64" s="39"/>
      <c r="C64" s="39"/>
      <c r="D64" s="39"/>
      <c r="E64" s="39"/>
      <c r="F64" s="39"/>
      <c r="G64" s="222"/>
      <c r="H64" s="68"/>
      <c r="I64" s="57" t="s">
        <v>81</v>
      </c>
      <c r="J64" s="48" t="s">
        <v>80</v>
      </c>
      <c r="K64" s="165">
        <v>0</v>
      </c>
      <c r="L64" s="165">
        <v>0</v>
      </c>
      <c r="M64" s="139">
        <v>0</v>
      </c>
      <c r="N64" s="149"/>
    </row>
    <row r="65" spans="1:14" ht="16.5" customHeight="1">
      <c r="A65" s="245"/>
      <c r="B65" s="39"/>
      <c r="C65" s="39"/>
      <c r="D65" s="39"/>
      <c r="E65" s="39"/>
      <c r="F65" s="39"/>
      <c r="G65" s="222"/>
      <c r="H65" s="69" t="s">
        <v>79</v>
      </c>
      <c r="I65" s="48"/>
      <c r="J65" s="65"/>
      <c r="K65" s="164">
        <v>6054</v>
      </c>
      <c r="L65" s="164">
        <v>5374</v>
      </c>
      <c r="M65" s="159">
        <v>680</v>
      </c>
      <c r="N65" s="149">
        <v>12.653516933382946</v>
      </c>
    </row>
    <row r="66" spans="1:14" ht="16.5" customHeight="1">
      <c r="A66" s="245"/>
      <c r="B66" s="39"/>
      <c r="C66" s="39"/>
      <c r="D66" s="39"/>
      <c r="E66" s="39"/>
      <c r="F66" s="39"/>
      <c r="G66" s="222"/>
      <c r="H66" s="68"/>
      <c r="I66" s="66" t="s">
        <v>68</v>
      </c>
      <c r="J66" s="65"/>
      <c r="K66" s="52">
        <v>6054</v>
      </c>
      <c r="L66" s="52">
        <v>5374</v>
      </c>
      <c r="M66" s="139">
        <v>680</v>
      </c>
      <c r="N66" s="149">
        <v>12.653516933382946</v>
      </c>
    </row>
    <row r="67" spans="1:14" ht="15" thickBot="1">
      <c r="A67" s="243"/>
      <c r="B67" s="72"/>
      <c r="C67" s="72"/>
      <c r="D67" s="72"/>
      <c r="E67" s="72"/>
      <c r="F67" s="72"/>
      <c r="G67" s="73"/>
      <c r="H67" s="74"/>
      <c r="I67" s="75"/>
      <c r="J67" s="76" t="s">
        <v>68</v>
      </c>
      <c r="K67" s="53">
        <v>6054</v>
      </c>
      <c r="L67" s="53">
        <v>5374</v>
      </c>
      <c r="M67" s="141">
        <v>680</v>
      </c>
      <c r="N67" s="167">
        <v>12.653516933382946</v>
      </c>
    </row>
    <row r="68" spans="8:14" ht="14.25">
      <c r="H68" s="241"/>
      <c r="I68" s="241"/>
      <c r="J68" s="241"/>
      <c r="K68" s="221" t="s">
        <v>73</v>
      </c>
      <c r="L68" s="221"/>
      <c r="M68" s="221"/>
      <c r="N68" s="221"/>
    </row>
  </sheetData>
  <mergeCells count="21">
    <mergeCell ref="A6:C6"/>
    <mergeCell ref="H6:J6"/>
    <mergeCell ref="H24:H25"/>
    <mergeCell ref="A30:A31"/>
    <mergeCell ref="A32:A67"/>
    <mergeCell ref="H4:H5"/>
    <mergeCell ref="I4:I5"/>
    <mergeCell ref="J4:J5"/>
    <mergeCell ref="K4:K5"/>
    <mergeCell ref="L4:L5"/>
    <mergeCell ref="M4:N4"/>
    <mergeCell ref="A1:N1"/>
    <mergeCell ref="K2:N2"/>
    <mergeCell ref="A3:G3"/>
    <mergeCell ref="H3:N3"/>
    <mergeCell ref="A4:A5"/>
    <mergeCell ref="B4:B5"/>
    <mergeCell ref="C4:C5"/>
    <mergeCell ref="D4:D5"/>
    <mergeCell ref="E4:E5"/>
    <mergeCell ref="F4:G4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  <headerFooter alignWithMargins="0">
    <oddFooter>&amp;C-&amp;P+81-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view="pageBreakPreview" zoomScale="80" zoomScaleSheetLayoutView="80" workbookViewId="0" topLeftCell="A1">
      <selection activeCell="J14" sqref="J14"/>
    </sheetView>
  </sheetViews>
  <sheetFormatPr defaultColWidth="8.88671875" defaultRowHeight="13.5"/>
  <cols>
    <col min="1" max="1" width="6.21484375" style="0" customWidth="1"/>
    <col min="2" max="2" width="10.4453125" style="0" customWidth="1"/>
    <col min="3" max="3" width="6.10546875" style="0" customWidth="1"/>
    <col min="4" max="4" width="10.88671875" style="0" customWidth="1"/>
    <col min="5" max="5" width="12.3359375" style="0" customWidth="1"/>
    <col min="6" max="6" width="6.10546875" style="0" customWidth="1"/>
    <col min="7" max="7" width="15.77734375" style="0" customWidth="1"/>
    <col min="8" max="8" width="15.6640625" style="0" customWidth="1"/>
    <col min="9" max="9" width="12.88671875" style="0" customWidth="1"/>
    <col min="10" max="10" width="14.3359375" style="0" customWidth="1"/>
    <col min="11" max="11" width="12.77734375" style="0" customWidth="1"/>
    <col min="12" max="12" width="12.99609375" style="0" customWidth="1"/>
    <col min="13" max="13" width="11.88671875" style="0" customWidth="1"/>
    <col min="14" max="14" width="18.21484375" style="0" customWidth="1"/>
    <col min="15" max="16" width="17.10546875" style="0" customWidth="1"/>
    <col min="17" max="17" width="7.77734375" style="0" customWidth="1"/>
    <col min="18" max="18" width="14.88671875" style="0" customWidth="1"/>
    <col min="19" max="19" width="10.5546875" style="0" customWidth="1"/>
    <col min="20" max="20" width="7.5546875" style="0" customWidth="1"/>
    <col min="21" max="21" width="13.3359375" style="0" customWidth="1"/>
    <col min="22" max="22" width="12.3359375" style="0" customWidth="1"/>
    <col min="23" max="23" width="11.5546875" style="0" customWidth="1"/>
    <col min="24" max="24" width="12.5546875" style="0" customWidth="1"/>
    <col min="25" max="25" width="12.21484375" style="0" customWidth="1"/>
    <col min="26" max="27" width="10.88671875" style="0" customWidth="1"/>
    <col min="28" max="28" width="15.77734375" style="0" customWidth="1"/>
    <col min="29" max="29" width="18.88671875" style="0" customWidth="1"/>
    <col min="30" max="30" width="12.6640625" style="0" bestFit="1" customWidth="1"/>
  </cols>
  <sheetData>
    <row r="1" spans="1:29" ht="38.25" customHeight="1" thickBot="1">
      <c r="A1" s="313" t="s">
        <v>165</v>
      </c>
      <c r="B1" s="313"/>
      <c r="C1" s="313"/>
      <c r="D1" s="313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173"/>
      <c r="P1" s="177"/>
      <c r="Q1" s="313" t="s">
        <v>82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34.5" customHeight="1">
      <c r="A2" s="14" t="s">
        <v>83</v>
      </c>
      <c r="B2" s="15" t="s">
        <v>84</v>
      </c>
      <c r="C2" s="15" t="s">
        <v>85</v>
      </c>
      <c r="D2" s="19" t="s">
        <v>86</v>
      </c>
      <c r="E2" s="37" t="s">
        <v>87</v>
      </c>
      <c r="F2" s="15" t="s">
        <v>88</v>
      </c>
      <c r="G2" s="22" t="s">
        <v>89</v>
      </c>
      <c r="H2" s="15" t="s">
        <v>90</v>
      </c>
      <c r="I2" s="15" t="s">
        <v>91</v>
      </c>
      <c r="J2" s="15" t="s">
        <v>92</v>
      </c>
      <c r="K2" s="15" t="s">
        <v>93</v>
      </c>
      <c r="L2" s="15" t="s">
        <v>94</v>
      </c>
      <c r="M2" s="15" t="s">
        <v>95</v>
      </c>
      <c r="N2" s="45" t="s">
        <v>96</v>
      </c>
      <c r="O2" s="135"/>
      <c r="P2" s="192"/>
      <c r="Q2" s="14" t="s">
        <v>83</v>
      </c>
      <c r="R2" s="15" t="s">
        <v>84</v>
      </c>
      <c r="S2" s="15" t="s">
        <v>85</v>
      </c>
      <c r="T2" s="15" t="s">
        <v>86</v>
      </c>
      <c r="U2" s="20" t="s">
        <v>97</v>
      </c>
      <c r="V2" s="20" t="s">
        <v>98</v>
      </c>
      <c r="W2" s="20" t="s">
        <v>99</v>
      </c>
      <c r="X2" s="20" t="s">
        <v>100</v>
      </c>
      <c r="Y2" s="20" t="s">
        <v>101</v>
      </c>
      <c r="Z2" s="20" t="s">
        <v>102</v>
      </c>
      <c r="AA2" s="20" t="s">
        <v>103</v>
      </c>
      <c r="AB2" s="20" t="s">
        <v>104</v>
      </c>
      <c r="AC2" s="34" t="s">
        <v>105</v>
      </c>
    </row>
    <row r="3" spans="1:31" ht="34.5" customHeight="1">
      <c r="A3" s="204">
        <v>1</v>
      </c>
      <c r="B3" s="200" t="s">
        <v>106</v>
      </c>
      <c r="C3" s="194" t="s">
        <v>107</v>
      </c>
      <c r="D3" s="21">
        <v>10</v>
      </c>
      <c r="E3" s="44">
        <v>2984000</v>
      </c>
      <c r="F3" s="7">
        <v>7</v>
      </c>
      <c r="G3" s="23">
        <f>E3*F3</f>
        <v>20888000</v>
      </c>
      <c r="H3" s="7">
        <f>E3*1.2</f>
        <v>3580800</v>
      </c>
      <c r="I3" s="7">
        <f>200000*F3</f>
        <v>1400000</v>
      </c>
      <c r="J3" s="7">
        <f aca="true" t="shared" si="0" ref="J3:J8">ROUNDDOWN((G3*35/209*1.5),-1)</f>
        <v>5246980</v>
      </c>
      <c r="K3" s="7">
        <f>F3*40000</f>
        <v>280000</v>
      </c>
      <c r="L3" s="7">
        <f aca="true" t="shared" si="1" ref="L3:L41">100000*F3</f>
        <v>700000</v>
      </c>
      <c r="M3" s="7">
        <f aca="true" t="shared" si="2" ref="M3:M30">40000*F3</f>
        <v>280000</v>
      </c>
      <c r="N3" s="46">
        <f aca="true" t="shared" si="3" ref="N3:N41">SUM(G3:M3)</f>
        <v>32375780</v>
      </c>
      <c r="O3" s="136">
        <f>N3+N4</f>
        <v>53594240</v>
      </c>
      <c r="P3" s="193">
        <f>SUM(H3:M3)</f>
        <v>11487780</v>
      </c>
      <c r="Q3" s="194" t="s">
        <v>171</v>
      </c>
      <c r="R3" s="194" t="s">
        <v>106</v>
      </c>
      <c r="S3" s="194" t="str">
        <f>Q3</f>
        <v>박세혁</v>
      </c>
      <c r="T3" s="21">
        <v>9</v>
      </c>
      <c r="U3" s="12">
        <f>O3/AE3</f>
        <v>4466186.666666667</v>
      </c>
      <c r="V3" s="12">
        <f aca="true" t="shared" si="4" ref="V3:V10">ROUNDDOWN((U3*$E$46),-1)</f>
        <v>131750</v>
      </c>
      <c r="W3" s="12">
        <f aca="true" t="shared" si="5" ref="W3:W10">ROUNDDOWN((V3*$E$47),-1)</f>
        <v>8620</v>
      </c>
      <c r="X3" s="12">
        <f aca="true" t="shared" si="6" ref="X3:X10">ROUNDDOWN((U3*$E$48),-1)</f>
        <v>200970</v>
      </c>
      <c r="Y3" s="12">
        <f>ROUNDDOWN((U3*4.5%/10),-1)</f>
        <v>20090</v>
      </c>
      <c r="Z3" s="12">
        <v>40000</v>
      </c>
      <c r="AA3" s="12">
        <f>ROUNDDOWN((U3*0.01),-1)</f>
        <v>44660</v>
      </c>
      <c r="AB3" s="12">
        <f>SUM(V3:AA3)</f>
        <v>446090</v>
      </c>
      <c r="AC3" s="36">
        <f>U3-AB3</f>
        <v>4020096.666666667</v>
      </c>
      <c r="AD3" s="80">
        <f>AB3*AE3</f>
        <v>5353080</v>
      </c>
      <c r="AE3">
        <v>12</v>
      </c>
    </row>
    <row r="4" spans="1:31" ht="34.5" customHeight="1">
      <c r="A4" s="205"/>
      <c r="B4" s="201"/>
      <c r="C4" s="195"/>
      <c r="D4" s="21">
        <v>11</v>
      </c>
      <c r="E4" s="44">
        <v>3088000</v>
      </c>
      <c r="F4" s="7">
        <v>5</v>
      </c>
      <c r="G4" s="23">
        <f aca="true" t="shared" si="7" ref="G4:G41">E4*F4</f>
        <v>15440000</v>
      </c>
      <c r="H4" s="7"/>
      <c r="I4" s="7">
        <f>200000*F4</f>
        <v>1000000</v>
      </c>
      <c r="J4" s="7">
        <f t="shared" si="0"/>
        <v>3878460</v>
      </c>
      <c r="K4" s="7">
        <f>F4*40000</f>
        <v>200000</v>
      </c>
      <c r="L4" s="7">
        <f t="shared" si="1"/>
        <v>500000</v>
      </c>
      <c r="M4" s="7">
        <f t="shared" si="2"/>
        <v>200000</v>
      </c>
      <c r="N4" s="46">
        <f t="shared" si="3"/>
        <v>21218460</v>
      </c>
      <c r="O4" s="136"/>
      <c r="P4" s="193">
        <f aca="true" t="shared" si="8" ref="P4:P41">SUM(H4:M4)</f>
        <v>5778460</v>
      </c>
      <c r="Q4" s="195"/>
      <c r="R4" s="195"/>
      <c r="S4" s="194">
        <f aca="true" t="shared" si="9" ref="S4:S41">Q4</f>
        <v>0</v>
      </c>
      <c r="T4" s="21">
        <v>10</v>
      </c>
      <c r="U4" s="12">
        <f aca="true" t="shared" si="10" ref="U4:U41">O4/AE4</f>
        <v>0</v>
      </c>
      <c r="V4" s="12">
        <f t="shared" si="4"/>
        <v>0</v>
      </c>
      <c r="W4" s="12">
        <f t="shared" si="5"/>
        <v>0</v>
      </c>
      <c r="X4" s="12">
        <f t="shared" si="6"/>
        <v>0</v>
      </c>
      <c r="Y4" s="12"/>
      <c r="Z4" s="12"/>
      <c r="AA4" s="12"/>
      <c r="AB4" s="12"/>
      <c r="AC4" s="36"/>
      <c r="AD4" s="80">
        <f aca="true" t="shared" si="11" ref="AD4:AD41">AB4*AE4</f>
        <v>0</v>
      </c>
      <c r="AE4">
        <v>12</v>
      </c>
    </row>
    <row r="5" spans="1:31" ht="34.5" customHeight="1">
      <c r="A5" s="204">
        <v>2</v>
      </c>
      <c r="B5" s="200" t="s">
        <v>172</v>
      </c>
      <c r="C5" s="194" t="s">
        <v>109</v>
      </c>
      <c r="D5" s="21">
        <v>15</v>
      </c>
      <c r="E5" s="44">
        <v>3076000</v>
      </c>
      <c r="F5" s="7">
        <v>3</v>
      </c>
      <c r="G5" s="23">
        <f t="shared" si="7"/>
        <v>9228000</v>
      </c>
      <c r="H5" s="7">
        <f aca="true" t="shared" si="12" ref="H5:H10">E5*0.6</f>
        <v>1845600</v>
      </c>
      <c r="I5" s="7">
        <f>100000*F5</f>
        <v>300000</v>
      </c>
      <c r="J5" s="7">
        <f t="shared" si="0"/>
        <v>2318030</v>
      </c>
      <c r="K5" s="7">
        <f>F5*80000</f>
        <v>240000</v>
      </c>
      <c r="L5" s="7">
        <f t="shared" si="1"/>
        <v>300000</v>
      </c>
      <c r="M5" s="7">
        <f t="shared" si="2"/>
        <v>120000</v>
      </c>
      <c r="N5" s="46">
        <f t="shared" si="3"/>
        <v>14351630</v>
      </c>
      <c r="O5" s="136">
        <f>N5+N6</f>
        <v>54450710</v>
      </c>
      <c r="P5" s="193">
        <f t="shared" si="8"/>
        <v>5123630</v>
      </c>
      <c r="Q5" s="194" t="s">
        <v>109</v>
      </c>
      <c r="R5" s="194" t="s">
        <v>108</v>
      </c>
      <c r="S5" s="194" t="str">
        <f t="shared" si="9"/>
        <v>김춘희</v>
      </c>
      <c r="T5" s="21">
        <v>14</v>
      </c>
      <c r="U5" s="12">
        <f t="shared" si="10"/>
        <v>4537559.166666667</v>
      </c>
      <c r="V5" s="12">
        <f t="shared" si="4"/>
        <v>133850</v>
      </c>
      <c r="W5" s="12">
        <f t="shared" si="5"/>
        <v>8760</v>
      </c>
      <c r="X5" s="12">
        <f t="shared" si="6"/>
        <v>204190</v>
      </c>
      <c r="Y5" s="12">
        <f>ROUNDDOWN((U5*4.5%/10),-1)</f>
        <v>20410</v>
      </c>
      <c r="Z5" s="12">
        <v>40000</v>
      </c>
      <c r="AA5" s="12">
        <f>ROUNDDOWN((U5*0.01),-1)</f>
        <v>45370</v>
      </c>
      <c r="AB5" s="12">
        <f>SUM(V5:AA5)</f>
        <v>452580</v>
      </c>
      <c r="AC5" s="36">
        <f>U5-AB5</f>
        <v>4084979.166666667</v>
      </c>
      <c r="AD5" s="80">
        <f t="shared" si="11"/>
        <v>5430960</v>
      </c>
      <c r="AE5">
        <v>12</v>
      </c>
    </row>
    <row r="6" spans="1:31" ht="34.5" customHeight="1">
      <c r="A6" s="205"/>
      <c r="B6" s="201"/>
      <c r="C6" s="195"/>
      <c r="D6" s="21">
        <v>16</v>
      </c>
      <c r="E6" s="44">
        <v>3138000</v>
      </c>
      <c r="F6" s="7">
        <v>9</v>
      </c>
      <c r="G6" s="23">
        <f t="shared" si="7"/>
        <v>28242000</v>
      </c>
      <c r="H6" s="7">
        <f t="shared" si="12"/>
        <v>1882800</v>
      </c>
      <c r="I6" s="7">
        <f>100000*F6</f>
        <v>900000</v>
      </c>
      <c r="J6" s="7">
        <f t="shared" si="0"/>
        <v>7094280</v>
      </c>
      <c r="K6" s="7">
        <f>F6*80000</f>
        <v>720000</v>
      </c>
      <c r="L6" s="7">
        <f t="shared" si="1"/>
        <v>900000</v>
      </c>
      <c r="M6" s="7">
        <f t="shared" si="2"/>
        <v>360000</v>
      </c>
      <c r="N6" s="46">
        <f t="shared" si="3"/>
        <v>40099080</v>
      </c>
      <c r="O6" s="136"/>
      <c r="P6" s="193">
        <f t="shared" si="8"/>
        <v>11857080</v>
      </c>
      <c r="Q6" s="195"/>
      <c r="R6" s="195"/>
      <c r="S6" s="194">
        <f t="shared" si="9"/>
        <v>0</v>
      </c>
      <c r="T6" s="21">
        <v>15</v>
      </c>
      <c r="U6" s="12">
        <f t="shared" si="10"/>
        <v>0</v>
      </c>
      <c r="V6" s="12">
        <f t="shared" si="4"/>
        <v>0</v>
      </c>
      <c r="W6" s="12">
        <f t="shared" si="5"/>
        <v>0</v>
      </c>
      <c r="X6" s="12">
        <f t="shared" si="6"/>
        <v>0</v>
      </c>
      <c r="Y6" s="12"/>
      <c r="Z6" s="12"/>
      <c r="AA6" s="12"/>
      <c r="AB6" s="12"/>
      <c r="AC6" s="36"/>
      <c r="AD6" s="80">
        <f t="shared" si="11"/>
        <v>0</v>
      </c>
      <c r="AE6">
        <v>12</v>
      </c>
    </row>
    <row r="7" spans="1:31" ht="34.5" customHeight="1">
      <c r="A7" s="204">
        <v>3</v>
      </c>
      <c r="B7" s="200" t="s">
        <v>108</v>
      </c>
      <c r="C7" s="196" t="s">
        <v>110</v>
      </c>
      <c r="D7" s="84">
        <v>8</v>
      </c>
      <c r="E7" s="85">
        <v>2260000</v>
      </c>
      <c r="F7" s="86">
        <v>8</v>
      </c>
      <c r="G7" s="87">
        <f t="shared" si="7"/>
        <v>18080000</v>
      </c>
      <c r="H7" s="7">
        <f>E7*1.2</f>
        <v>2712000</v>
      </c>
      <c r="I7" s="86"/>
      <c r="J7" s="7">
        <f t="shared" si="0"/>
        <v>4541620</v>
      </c>
      <c r="K7" s="7">
        <f>F7*60000</f>
        <v>480000</v>
      </c>
      <c r="L7" s="7">
        <f t="shared" si="1"/>
        <v>800000</v>
      </c>
      <c r="M7" s="86">
        <f t="shared" si="2"/>
        <v>320000</v>
      </c>
      <c r="N7" s="88">
        <f t="shared" si="3"/>
        <v>26933620</v>
      </c>
      <c r="O7" s="136">
        <f>N7+N8</f>
        <v>39504870</v>
      </c>
      <c r="P7" s="193">
        <f t="shared" si="8"/>
        <v>8853620</v>
      </c>
      <c r="Q7" s="196" t="s">
        <v>110</v>
      </c>
      <c r="R7" s="194" t="s">
        <v>108</v>
      </c>
      <c r="S7" s="194" t="str">
        <f t="shared" si="9"/>
        <v>전상현</v>
      </c>
      <c r="T7" s="84">
        <v>7</v>
      </c>
      <c r="U7" s="12">
        <f t="shared" si="10"/>
        <v>3292072.5</v>
      </c>
      <c r="V7" s="12">
        <f t="shared" si="4"/>
        <v>97110</v>
      </c>
      <c r="W7" s="12">
        <f t="shared" si="5"/>
        <v>6360</v>
      </c>
      <c r="X7" s="12">
        <f t="shared" si="6"/>
        <v>148140</v>
      </c>
      <c r="Y7" s="12">
        <f aca="true" t="shared" si="13" ref="Y7:Y13">ROUNDDOWN((U7*4.5%/10),-1)</f>
        <v>14810</v>
      </c>
      <c r="Z7" s="12">
        <v>40000</v>
      </c>
      <c r="AA7" s="12">
        <f>ROUNDDOWN((U7*0.01),-1)</f>
        <v>32920</v>
      </c>
      <c r="AB7" s="12">
        <f>SUM(V7:AA7)</f>
        <v>339340</v>
      </c>
      <c r="AC7" s="36">
        <f>U7-AB7</f>
        <v>2952732.5</v>
      </c>
      <c r="AD7" s="80">
        <f t="shared" si="11"/>
        <v>4072080</v>
      </c>
      <c r="AE7">
        <v>12</v>
      </c>
    </row>
    <row r="8" spans="1:31" ht="34.5" customHeight="1">
      <c r="A8" s="205"/>
      <c r="B8" s="201"/>
      <c r="C8" s="197"/>
      <c r="D8" s="84">
        <v>9</v>
      </c>
      <c r="E8" s="85">
        <v>2352000</v>
      </c>
      <c r="F8" s="86">
        <v>4</v>
      </c>
      <c r="G8" s="87">
        <f t="shared" si="7"/>
        <v>9408000</v>
      </c>
      <c r="H8" s="7"/>
      <c r="I8" s="86"/>
      <c r="J8" s="7">
        <f t="shared" si="0"/>
        <v>2363250</v>
      </c>
      <c r="K8" s="7">
        <f>F8*60000</f>
        <v>240000</v>
      </c>
      <c r="L8" s="7">
        <f t="shared" si="1"/>
        <v>400000</v>
      </c>
      <c r="M8" s="86">
        <f t="shared" si="2"/>
        <v>160000</v>
      </c>
      <c r="N8" s="88">
        <f t="shared" si="3"/>
        <v>12571250</v>
      </c>
      <c r="O8" s="136"/>
      <c r="P8" s="193">
        <f t="shared" si="8"/>
        <v>3163250</v>
      </c>
      <c r="Q8" s="197"/>
      <c r="R8" s="195"/>
      <c r="S8" s="194">
        <f t="shared" si="9"/>
        <v>0</v>
      </c>
      <c r="T8" s="84">
        <v>8</v>
      </c>
      <c r="U8" s="12">
        <f t="shared" si="10"/>
        <v>0</v>
      </c>
      <c r="V8" s="12">
        <f t="shared" si="4"/>
        <v>0</v>
      </c>
      <c r="W8" s="12">
        <f t="shared" si="5"/>
        <v>0</v>
      </c>
      <c r="X8" s="12">
        <f t="shared" si="6"/>
        <v>0</v>
      </c>
      <c r="Y8" s="12">
        <f t="shared" si="13"/>
        <v>0</v>
      </c>
      <c r="Z8" s="12"/>
      <c r="AA8" s="12"/>
      <c r="AB8" s="12"/>
      <c r="AC8" s="36"/>
      <c r="AD8" s="80">
        <f t="shared" si="11"/>
        <v>0</v>
      </c>
      <c r="AE8">
        <v>12</v>
      </c>
    </row>
    <row r="9" spans="1:31" ht="34.5" customHeight="1">
      <c r="A9" s="186">
        <v>4</v>
      </c>
      <c r="B9" s="187" t="s">
        <v>111</v>
      </c>
      <c r="C9" s="188" t="s">
        <v>112</v>
      </c>
      <c r="D9" s="90">
        <v>4</v>
      </c>
      <c r="E9" s="91">
        <v>1704000</v>
      </c>
      <c r="F9" s="89">
        <v>6</v>
      </c>
      <c r="G9" s="92">
        <f t="shared" si="7"/>
        <v>10224000</v>
      </c>
      <c r="H9" s="89">
        <f t="shared" si="12"/>
        <v>1022400</v>
      </c>
      <c r="I9" s="89"/>
      <c r="J9" s="89">
        <f>ROUNDDOWN((G9*55/209*1.5),-1)</f>
        <v>4035780</v>
      </c>
      <c r="K9" s="89">
        <f>F9*40000</f>
        <v>240000</v>
      </c>
      <c r="L9" s="89">
        <f t="shared" si="1"/>
        <v>600000</v>
      </c>
      <c r="M9" s="89">
        <f t="shared" si="2"/>
        <v>240000</v>
      </c>
      <c r="N9" s="111">
        <f t="shared" si="3"/>
        <v>16362180</v>
      </c>
      <c r="O9" s="136">
        <f>N9+N10</f>
        <v>33181750</v>
      </c>
      <c r="P9" s="193">
        <f t="shared" si="8"/>
        <v>6138180</v>
      </c>
      <c r="Q9" s="188" t="s">
        <v>112</v>
      </c>
      <c r="R9" s="188" t="s">
        <v>111</v>
      </c>
      <c r="S9" s="194" t="str">
        <f t="shared" si="9"/>
        <v>이원영</v>
      </c>
      <c r="T9" s="90">
        <v>3</v>
      </c>
      <c r="U9" s="12">
        <f t="shared" si="10"/>
        <v>2765145.8333333335</v>
      </c>
      <c r="V9" s="12">
        <f t="shared" si="4"/>
        <v>81570</v>
      </c>
      <c r="W9" s="12">
        <f t="shared" si="5"/>
        <v>5340</v>
      </c>
      <c r="X9" s="12">
        <f t="shared" si="6"/>
        <v>124430</v>
      </c>
      <c r="Y9" s="12">
        <f t="shared" si="13"/>
        <v>12440</v>
      </c>
      <c r="Z9" s="12">
        <v>40000</v>
      </c>
      <c r="AA9" s="12">
        <f>ROUNDDOWN((U9*0.01),-1)</f>
        <v>27650</v>
      </c>
      <c r="AB9" s="12">
        <f>SUM(V9:AA9)</f>
        <v>291430</v>
      </c>
      <c r="AC9" s="36">
        <f>U9-AB9</f>
        <v>2473715.8333333335</v>
      </c>
      <c r="AD9" s="80">
        <f t="shared" si="11"/>
        <v>3497160</v>
      </c>
      <c r="AE9">
        <v>12</v>
      </c>
    </row>
    <row r="10" spans="1:31" ht="34.5" customHeight="1">
      <c r="A10" s="190"/>
      <c r="B10" s="191"/>
      <c r="C10" s="189"/>
      <c r="D10" s="90">
        <v>5</v>
      </c>
      <c r="E10" s="91">
        <v>1755000</v>
      </c>
      <c r="F10" s="89">
        <v>6</v>
      </c>
      <c r="G10" s="92">
        <f t="shared" si="7"/>
        <v>10530000</v>
      </c>
      <c r="H10" s="89">
        <f t="shared" si="12"/>
        <v>1053000</v>
      </c>
      <c r="I10" s="89"/>
      <c r="J10" s="89">
        <f aca="true" t="shared" si="14" ref="J10:J27">ROUNDDOWN((G10*55/209*1.5),-1)</f>
        <v>4156570</v>
      </c>
      <c r="K10" s="89">
        <f>F10*40000</f>
        <v>240000</v>
      </c>
      <c r="L10" s="89">
        <f t="shared" si="1"/>
        <v>600000</v>
      </c>
      <c r="M10" s="89">
        <f t="shared" si="2"/>
        <v>240000</v>
      </c>
      <c r="N10" s="111">
        <f t="shared" si="3"/>
        <v>16819570</v>
      </c>
      <c r="O10" s="223"/>
      <c r="P10" s="193">
        <f t="shared" si="8"/>
        <v>6289570</v>
      </c>
      <c r="Q10" s="189"/>
      <c r="R10" s="189"/>
      <c r="S10" s="194">
        <f t="shared" si="9"/>
        <v>0</v>
      </c>
      <c r="T10" s="90">
        <v>4</v>
      </c>
      <c r="U10" s="12">
        <f t="shared" si="10"/>
        <v>0</v>
      </c>
      <c r="V10" s="12">
        <f t="shared" si="4"/>
        <v>0</v>
      </c>
      <c r="W10" s="12">
        <f t="shared" si="5"/>
        <v>0</v>
      </c>
      <c r="X10" s="12">
        <f t="shared" si="6"/>
        <v>0</v>
      </c>
      <c r="Y10" s="12">
        <f t="shared" si="13"/>
        <v>0</v>
      </c>
      <c r="AA10" s="12">
        <f>ROUNDDOWN((U10*0.01),-1)</f>
        <v>0</v>
      </c>
      <c r="AB10" s="12">
        <f>SUM(V10:AA10)</f>
        <v>0</v>
      </c>
      <c r="AC10" s="36"/>
      <c r="AD10" s="80">
        <f t="shared" si="11"/>
        <v>0</v>
      </c>
      <c r="AE10">
        <v>12</v>
      </c>
    </row>
    <row r="11" spans="1:31" ht="34.5" customHeight="1">
      <c r="A11" s="273">
        <v>5</v>
      </c>
      <c r="B11" s="269" t="s">
        <v>111</v>
      </c>
      <c r="C11" s="271" t="s">
        <v>113</v>
      </c>
      <c r="D11" s="90">
        <v>11</v>
      </c>
      <c r="E11" s="91">
        <v>2134000</v>
      </c>
      <c r="F11" s="89">
        <v>10</v>
      </c>
      <c r="G11" s="92">
        <f>E11*F11</f>
        <v>21340000</v>
      </c>
      <c r="H11" s="89">
        <f>E11*1.2</f>
        <v>2560800</v>
      </c>
      <c r="I11" s="89"/>
      <c r="J11" s="89">
        <f>ROUNDDOWN((G11*55/209*1.5),-1)</f>
        <v>8423680</v>
      </c>
      <c r="K11" s="89">
        <f>F11*80000</f>
        <v>800000</v>
      </c>
      <c r="L11" s="89">
        <f>100000*F11</f>
        <v>1000000</v>
      </c>
      <c r="M11" s="89">
        <f>40000*F11</f>
        <v>400000</v>
      </c>
      <c r="N11" s="111">
        <f>SUM(G11:M11)</f>
        <v>34524480</v>
      </c>
      <c r="O11" s="136">
        <f>N11+N12</f>
        <v>41084580</v>
      </c>
      <c r="P11" s="193">
        <f>SUM(H11:M11)</f>
        <v>13184480</v>
      </c>
      <c r="Q11" s="230" t="s">
        <v>113</v>
      </c>
      <c r="R11" s="230" t="s">
        <v>111</v>
      </c>
      <c r="S11" s="194" t="str">
        <f>Q11</f>
        <v>김계주</v>
      </c>
      <c r="T11" s="90">
        <v>10</v>
      </c>
      <c r="U11" s="12">
        <f>O11/AE11</f>
        <v>3423715</v>
      </c>
      <c r="V11" s="12">
        <f>ROUNDDOWN((U11*$E$46),-1)</f>
        <v>100990</v>
      </c>
      <c r="W11" s="12">
        <f>ROUNDDOWN((V11*$E$47),-1)</f>
        <v>6610</v>
      </c>
      <c r="X11" s="12">
        <f>ROUNDDOWN((U11*$E$48),-1)</f>
        <v>154060</v>
      </c>
      <c r="Y11" s="12">
        <f t="shared" si="13"/>
        <v>15400</v>
      </c>
      <c r="Z11" s="12">
        <v>40000</v>
      </c>
      <c r="AA11" s="12">
        <f>ROUNDDOWN((U11*0.01),-1)</f>
        <v>34230</v>
      </c>
      <c r="AB11" s="12">
        <f>SUM(V11:AA11)</f>
        <v>351290</v>
      </c>
      <c r="AC11" s="36">
        <f>U11-AB11</f>
        <v>3072425</v>
      </c>
      <c r="AD11" s="80">
        <f t="shared" si="11"/>
        <v>4215480</v>
      </c>
      <c r="AE11">
        <v>12</v>
      </c>
    </row>
    <row r="12" spans="1:31" ht="34.5" customHeight="1">
      <c r="A12" s="274"/>
      <c r="B12" s="270"/>
      <c r="C12" s="272"/>
      <c r="D12" s="90">
        <v>12</v>
      </c>
      <c r="E12" s="91">
        <v>2194000</v>
      </c>
      <c r="F12" s="89">
        <v>2</v>
      </c>
      <c r="G12" s="92">
        <f t="shared" si="7"/>
        <v>4388000</v>
      </c>
      <c r="H12" s="89"/>
      <c r="I12" s="89"/>
      <c r="J12" s="89">
        <f t="shared" si="14"/>
        <v>1732100</v>
      </c>
      <c r="K12" s="89">
        <f>F12*80000</f>
        <v>160000</v>
      </c>
      <c r="L12" s="89">
        <f t="shared" si="1"/>
        <v>200000</v>
      </c>
      <c r="M12" s="89">
        <f t="shared" si="2"/>
        <v>80000</v>
      </c>
      <c r="N12" s="111">
        <f t="shared" si="3"/>
        <v>6560100</v>
      </c>
      <c r="O12" s="136"/>
      <c r="P12" s="193">
        <f t="shared" si="8"/>
        <v>2172100</v>
      </c>
      <c r="Q12" s="176" t="s">
        <v>113</v>
      </c>
      <c r="R12" s="176" t="s">
        <v>111</v>
      </c>
      <c r="S12" s="194" t="str">
        <f t="shared" si="9"/>
        <v>김계주</v>
      </c>
      <c r="T12" s="90">
        <v>10</v>
      </c>
      <c r="U12" s="12">
        <f t="shared" si="10"/>
        <v>0</v>
      </c>
      <c r="V12" s="12">
        <f aca="true" t="shared" si="15" ref="V12:V27">ROUNDDOWN((U12*$E$46),-1)</f>
        <v>0</v>
      </c>
      <c r="W12" s="12">
        <f aca="true" t="shared" si="16" ref="W12:W27">ROUNDDOWN((V12*$E$47),-1)</f>
        <v>0</v>
      </c>
      <c r="X12" s="12">
        <f aca="true" t="shared" si="17" ref="X12:X27">ROUNDDOWN((U12*$E$48),-1)</f>
        <v>0</v>
      </c>
      <c r="Y12" s="12">
        <f t="shared" si="13"/>
        <v>0</v>
      </c>
      <c r="Z12" s="12">
        <v>40000</v>
      </c>
      <c r="AA12" s="12">
        <f>ROUNDDOWN((U12*0.01),-1)</f>
        <v>0</v>
      </c>
      <c r="AB12" s="12">
        <f>SUM(V12:AA12)</f>
        <v>40000</v>
      </c>
      <c r="AC12" s="36"/>
      <c r="AD12" s="80">
        <f t="shared" si="11"/>
        <v>480000</v>
      </c>
      <c r="AE12">
        <v>12</v>
      </c>
    </row>
    <row r="13" spans="1:31" ht="34.5" customHeight="1">
      <c r="A13" s="186">
        <v>6</v>
      </c>
      <c r="B13" s="187" t="s">
        <v>111</v>
      </c>
      <c r="C13" s="188" t="s">
        <v>114</v>
      </c>
      <c r="D13" s="90">
        <v>4</v>
      </c>
      <c r="E13" s="91">
        <v>1704000</v>
      </c>
      <c r="F13" s="89">
        <v>3</v>
      </c>
      <c r="G13" s="92">
        <f t="shared" si="7"/>
        <v>5112000</v>
      </c>
      <c r="H13" s="89">
        <f>E13*0.6</f>
        <v>1022400</v>
      </c>
      <c r="I13" s="89"/>
      <c r="J13" s="89">
        <f t="shared" si="14"/>
        <v>2017890</v>
      </c>
      <c r="K13" s="89"/>
      <c r="L13" s="89">
        <f t="shared" si="1"/>
        <v>300000</v>
      </c>
      <c r="M13" s="89">
        <f t="shared" si="2"/>
        <v>120000</v>
      </c>
      <c r="N13" s="111">
        <f t="shared" si="3"/>
        <v>8572290</v>
      </c>
      <c r="O13" s="136">
        <f>N13+N14</f>
        <v>32915150</v>
      </c>
      <c r="P13" s="193">
        <f t="shared" si="8"/>
        <v>3460290</v>
      </c>
      <c r="Q13" s="188" t="s">
        <v>114</v>
      </c>
      <c r="R13" s="188" t="s">
        <v>111</v>
      </c>
      <c r="S13" s="194" t="str">
        <f t="shared" si="9"/>
        <v>김극진</v>
      </c>
      <c r="T13" s="90">
        <v>3</v>
      </c>
      <c r="U13" s="12">
        <f t="shared" si="10"/>
        <v>2742929.1666666665</v>
      </c>
      <c r="V13" s="12">
        <f t="shared" si="15"/>
        <v>80910</v>
      </c>
      <c r="W13" s="12">
        <f t="shared" si="16"/>
        <v>5290</v>
      </c>
      <c r="X13" s="12">
        <f t="shared" si="17"/>
        <v>123430</v>
      </c>
      <c r="Y13" s="12">
        <f t="shared" si="13"/>
        <v>12340</v>
      </c>
      <c r="Z13" s="12">
        <v>40000</v>
      </c>
      <c r="AA13" s="12">
        <f>ROUNDDOWN((U13*0.01),-1)</f>
        <v>27420</v>
      </c>
      <c r="AB13" s="12">
        <f>SUM(V13:AA13)</f>
        <v>289390</v>
      </c>
      <c r="AC13" s="36">
        <f>U13-AB13</f>
        <v>2453539.1666666665</v>
      </c>
      <c r="AD13" s="80">
        <f t="shared" si="11"/>
        <v>3472680</v>
      </c>
      <c r="AE13">
        <v>12</v>
      </c>
    </row>
    <row r="14" spans="1:31" ht="34.5" customHeight="1">
      <c r="A14" s="190"/>
      <c r="B14" s="191"/>
      <c r="C14" s="189"/>
      <c r="D14" s="90">
        <v>5</v>
      </c>
      <c r="E14" s="91">
        <v>1755000</v>
      </c>
      <c r="F14" s="89">
        <v>9</v>
      </c>
      <c r="G14" s="92">
        <f t="shared" si="7"/>
        <v>15795000</v>
      </c>
      <c r="H14" s="89">
        <f>E14*0.6</f>
        <v>1053000</v>
      </c>
      <c r="I14" s="89"/>
      <c r="J14" s="89">
        <f t="shared" si="14"/>
        <v>6234860</v>
      </c>
      <c r="K14" s="89"/>
      <c r="L14" s="89">
        <f t="shared" si="1"/>
        <v>900000</v>
      </c>
      <c r="M14" s="89">
        <f t="shared" si="2"/>
        <v>360000</v>
      </c>
      <c r="N14" s="111">
        <f t="shared" si="3"/>
        <v>24342860</v>
      </c>
      <c r="O14" s="137"/>
      <c r="P14" s="193">
        <f t="shared" si="8"/>
        <v>8547860</v>
      </c>
      <c r="Q14" s="189"/>
      <c r="R14" s="189"/>
      <c r="S14" s="194">
        <f t="shared" si="9"/>
        <v>0</v>
      </c>
      <c r="T14" s="90">
        <v>4</v>
      </c>
      <c r="U14" s="12">
        <f t="shared" si="10"/>
        <v>0</v>
      </c>
      <c r="V14" s="12">
        <f t="shared" si="15"/>
        <v>0</v>
      </c>
      <c r="W14" s="12">
        <f t="shared" si="16"/>
        <v>0</v>
      </c>
      <c r="X14" s="12">
        <f t="shared" si="17"/>
        <v>0</v>
      </c>
      <c r="Y14" s="12"/>
      <c r="Z14" s="12"/>
      <c r="AA14" s="12"/>
      <c r="AB14" s="12"/>
      <c r="AC14" s="36"/>
      <c r="AD14" s="80">
        <f t="shared" si="11"/>
        <v>0</v>
      </c>
      <c r="AE14">
        <v>12</v>
      </c>
    </row>
    <row r="15" spans="1:31" ht="34.5" customHeight="1">
      <c r="A15" s="186">
        <v>7</v>
      </c>
      <c r="B15" s="187" t="s">
        <v>111</v>
      </c>
      <c r="C15" s="188" t="s">
        <v>115</v>
      </c>
      <c r="D15" s="90">
        <v>4</v>
      </c>
      <c r="E15" s="91">
        <v>1704000</v>
      </c>
      <c r="F15" s="89">
        <v>7</v>
      </c>
      <c r="G15" s="92">
        <f t="shared" si="7"/>
        <v>11928000</v>
      </c>
      <c r="H15" s="89">
        <f>E15*1.2</f>
        <v>2044800</v>
      </c>
      <c r="I15" s="89"/>
      <c r="J15" s="89">
        <f t="shared" si="14"/>
        <v>4708420</v>
      </c>
      <c r="K15" s="89"/>
      <c r="L15" s="89">
        <f t="shared" si="1"/>
        <v>700000</v>
      </c>
      <c r="M15" s="89">
        <f t="shared" si="2"/>
        <v>280000</v>
      </c>
      <c r="N15" s="111">
        <f t="shared" si="3"/>
        <v>19661220</v>
      </c>
      <c r="O15" s="136">
        <f>N15+N16</f>
        <v>32600030</v>
      </c>
      <c r="P15" s="193">
        <f t="shared" si="8"/>
        <v>7733220</v>
      </c>
      <c r="Q15" s="188" t="s">
        <v>115</v>
      </c>
      <c r="R15" s="188" t="s">
        <v>111</v>
      </c>
      <c r="S15" s="194" t="str">
        <f t="shared" si="9"/>
        <v>김세현</v>
      </c>
      <c r="T15" s="90">
        <v>3</v>
      </c>
      <c r="U15" s="12">
        <f t="shared" si="10"/>
        <v>2716669.1666666665</v>
      </c>
      <c r="V15" s="12">
        <f t="shared" si="15"/>
        <v>80140</v>
      </c>
      <c r="W15" s="12">
        <f t="shared" si="16"/>
        <v>5240</v>
      </c>
      <c r="X15" s="12">
        <f t="shared" si="17"/>
        <v>122250</v>
      </c>
      <c r="Y15" s="12">
        <f>ROUNDDOWN((U15*4.5%/10),-1)</f>
        <v>12220</v>
      </c>
      <c r="Z15" s="12">
        <v>40000</v>
      </c>
      <c r="AA15" s="12">
        <f>ROUNDDOWN((U15*0.01),-1)</f>
        <v>27160</v>
      </c>
      <c r="AB15" s="12">
        <f>SUM(V15:AA15)</f>
        <v>287010</v>
      </c>
      <c r="AC15" s="36">
        <f>U15-AB15</f>
        <v>2429659.1666666665</v>
      </c>
      <c r="AD15" s="80">
        <f t="shared" si="11"/>
        <v>3444120</v>
      </c>
      <c r="AE15">
        <v>12</v>
      </c>
    </row>
    <row r="16" spans="1:31" ht="34.5" customHeight="1">
      <c r="A16" s="190"/>
      <c r="B16" s="191"/>
      <c r="C16" s="189"/>
      <c r="D16" s="90">
        <v>5</v>
      </c>
      <c r="E16" s="91">
        <v>1755000</v>
      </c>
      <c r="F16" s="89">
        <v>5</v>
      </c>
      <c r="G16" s="92">
        <f t="shared" si="7"/>
        <v>8775000</v>
      </c>
      <c r="H16" s="89"/>
      <c r="I16" s="89"/>
      <c r="J16" s="89">
        <f t="shared" si="14"/>
        <v>3463810</v>
      </c>
      <c r="K16" s="89"/>
      <c r="L16" s="89">
        <f t="shared" si="1"/>
        <v>500000</v>
      </c>
      <c r="M16" s="89">
        <f t="shared" si="2"/>
        <v>200000</v>
      </c>
      <c r="N16" s="111">
        <f t="shared" si="3"/>
        <v>12938810</v>
      </c>
      <c r="O16" s="137"/>
      <c r="P16" s="193">
        <f t="shared" si="8"/>
        <v>4163810</v>
      </c>
      <c r="Q16" s="189"/>
      <c r="R16" s="189"/>
      <c r="S16" s="194">
        <f t="shared" si="9"/>
        <v>0</v>
      </c>
      <c r="T16" s="90">
        <v>4</v>
      </c>
      <c r="U16" s="12">
        <f t="shared" si="10"/>
        <v>0</v>
      </c>
      <c r="V16" s="12">
        <f t="shared" si="15"/>
        <v>0</v>
      </c>
      <c r="W16" s="12">
        <f t="shared" si="16"/>
        <v>0</v>
      </c>
      <c r="X16" s="12">
        <f t="shared" si="17"/>
        <v>0</v>
      </c>
      <c r="Y16" s="12"/>
      <c r="Z16" s="12"/>
      <c r="AA16" s="12"/>
      <c r="AB16" s="12"/>
      <c r="AC16" s="36"/>
      <c r="AD16" s="80">
        <f t="shared" si="11"/>
        <v>0</v>
      </c>
      <c r="AE16">
        <v>12</v>
      </c>
    </row>
    <row r="17" spans="1:31" ht="34.5" customHeight="1">
      <c r="A17" s="186">
        <v>8</v>
      </c>
      <c r="B17" s="187" t="s">
        <v>111</v>
      </c>
      <c r="C17" s="188" t="s">
        <v>116</v>
      </c>
      <c r="D17" s="90">
        <v>4</v>
      </c>
      <c r="E17" s="91">
        <v>1704000</v>
      </c>
      <c r="F17" s="89">
        <v>8</v>
      </c>
      <c r="G17" s="92">
        <f t="shared" si="7"/>
        <v>13632000</v>
      </c>
      <c r="H17" s="89">
        <f>E17*1.2</f>
        <v>2044800</v>
      </c>
      <c r="I17" s="89"/>
      <c r="J17" s="89">
        <f t="shared" si="14"/>
        <v>5381050</v>
      </c>
      <c r="K17" s="89"/>
      <c r="L17" s="89">
        <f t="shared" si="1"/>
        <v>800000</v>
      </c>
      <c r="M17" s="89">
        <f t="shared" si="2"/>
        <v>320000</v>
      </c>
      <c r="N17" s="111">
        <f>SUM(G17:M17)</f>
        <v>22177850</v>
      </c>
      <c r="O17" s="136">
        <f>N17+N18</f>
        <v>32528900</v>
      </c>
      <c r="P17" s="193">
        <f t="shared" si="8"/>
        <v>8545850</v>
      </c>
      <c r="Q17" s="188" t="s">
        <v>116</v>
      </c>
      <c r="R17" s="188" t="s">
        <v>111</v>
      </c>
      <c r="S17" s="194" t="str">
        <f t="shared" si="9"/>
        <v>이종영</v>
      </c>
      <c r="T17" s="90">
        <v>3</v>
      </c>
      <c r="U17" s="12">
        <f t="shared" si="10"/>
        <v>2710741.6666666665</v>
      </c>
      <c r="V17" s="12">
        <f t="shared" si="15"/>
        <v>79960</v>
      </c>
      <c r="W17" s="12">
        <f t="shared" si="16"/>
        <v>5230</v>
      </c>
      <c r="X17" s="12">
        <f t="shared" si="17"/>
        <v>121980</v>
      </c>
      <c r="Y17" s="12">
        <f>ROUNDDOWN((U17*4.5%/10),-1)</f>
        <v>12190</v>
      </c>
      <c r="Z17" s="12">
        <v>40000</v>
      </c>
      <c r="AA17" s="12">
        <f>ROUNDDOWN((U17*0.01),-1)</f>
        <v>27100</v>
      </c>
      <c r="AB17" s="12">
        <f>SUM(V17:AA17)</f>
        <v>286460</v>
      </c>
      <c r="AC17" s="36">
        <f>U17-AB17</f>
        <v>2424281.6666666665</v>
      </c>
      <c r="AD17" s="80">
        <f t="shared" si="11"/>
        <v>3437520</v>
      </c>
      <c r="AE17">
        <v>12</v>
      </c>
    </row>
    <row r="18" spans="1:31" ht="34.5" customHeight="1">
      <c r="A18" s="190"/>
      <c r="B18" s="191"/>
      <c r="C18" s="189"/>
      <c r="D18" s="90">
        <v>5</v>
      </c>
      <c r="E18" s="91">
        <v>1755000</v>
      </c>
      <c r="F18" s="89">
        <v>4</v>
      </c>
      <c r="G18" s="92">
        <f t="shared" si="7"/>
        <v>7020000</v>
      </c>
      <c r="H18" s="89"/>
      <c r="I18" s="89"/>
      <c r="J18" s="89">
        <f t="shared" si="14"/>
        <v>2771050</v>
      </c>
      <c r="K18" s="89"/>
      <c r="L18" s="89">
        <f t="shared" si="1"/>
        <v>400000</v>
      </c>
      <c r="M18" s="89">
        <f t="shared" si="2"/>
        <v>160000</v>
      </c>
      <c r="N18" s="111">
        <f>SUM(G18:M18)</f>
        <v>10351050</v>
      </c>
      <c r="O18" s="137"/>
      <c r="P18" s="193">
        <f t="shared" si="8"/>
        <v>3331050</v>
      </c>
      <c r="Q18" s="189"/>
      <c r="R18" s="189"/>
      <c r="S18" s="194">
        <f t="shared" si="9"/>
        <v>0</v>
      </c>
      <c r="T18" s="90">
        <v>4</v>
      </c>
      <c r="U18" s="12">
        <f t="shared" si="10"/>
        <v>0</v>
      </c>
      <c r="V18" s="12">
        <f t="shared" si="15"/>
        <v>0</v>
      </c>
      <c r="W18" s="12">
        <f t="shared" si="16"/>
        <v>0</v>
      </c>
      <c r="X18" s="12">
        <f t="shared" si="17"/>
        <v>0</v>
      </c>
      <c r="Y18" s="12"/>
      <c r="Z18" s="12"/>
      <c r="AA18" s="12"/>
      <c r="AB18" s="12"/>
      <c r="AC18" s="36"/>
      <c r="AD18" s="80">
        <f t="shared" si="11"/>
        <v>0</v>
      </c>
      <c r="AE18">
        <v>12</v>
      </c>
    </row>
    <row r="19" spans="1:31" ht="34.5" customHeight="1">
      <c r="A19" s="186">
        <v>9</v>
      </c>
      <c r="B19" s="187" t="s">
        <v>111</v>
      </c>
      <c r="C19" s="188" t="s">
        <v>69</v>
      </c>
      <c r="D19" s="90">
        <v>4</v>
      </c>
      <c r="E19" s="91">
        <v>1704000</v>
      </c>
      <c r="F19" s="89">
        <v>12</v>
      </c>
      <c r="G19" s="92">
        <f>E19*F19</f>
        <v>20448000</v>
      </c>
      <c r="H19" s="89">
        <f>E19*1.2</f>
        <v>2044800</v>
      </c>
      <c r="I19" s="89"/>
      <c r="J19" s="89">
        <f t="shared" si="14"/>
        <v>8071570</v>
      </c>
      <c r="K19" s="89">
        <f>F19*80000</f>
        <v>960000</v>
      </c>
      <c r="L19" s="89">
        <f>100000*F19</f>
        <v>1200000</v>
      </c>
      <c r="M19" s="89">
        <f>40000*F19</f>
        <v>480000</v>
      </c>
      <c r="N19" s="111">
        <f>SUM(G19:M19)</f>
        <v>33204370</v>
      </c>
      <c r="O19" s="136">
        <f>N19</f>
        <v>33204370</v>
      </c>
      <c r="P19" s="193">
        <f t="shared" si="8"/>
        <v>12756370</v>
      </c>
      <c r="Q19" s="188" t="s">
        <v>117</v>
      </c>
      <c r="R19" s="176" t="s">
        <v>111</v>
      </c>
      <c r="S19" s="194" t="str">
        <f t="shared" si="9"/>
        <v>오재흠</v>
      </c>
      <c r="T19" s="90">
        <v>10</v>
      </c>
      <c r="U19" s="12">
        <f t="shared" si="10"/>
        <v>2767030.8333333335</v>
      </c>
      <c r="V19" s="12">
        <f t="shared" si="15"/>
        <v>81620</v>
      </c>
      <c r="W19" s="12">
        <f t="shared" si="16"/>
        <v>5340</v>
      </c>
      <c r="X19" s="12">
        <f t="shared" si="17"/>
        <v>124510</v>
      </c>
      <c r="Y19" s="12">
        <f>ROUNDDOWN((U19*4.5%/10),-1)</f>
        <v>12450</v>
      </c>
      <c r="Z19" s="12">
        <v>40000</v>
      </c>
      <c r="AA19" s="12">
        <f>ROUNDDOWN((U19*0.01),-1)</f>
        <v>27670</v>
      </c>
      <c r="AB19" s="12">
        <f>SUM(V19:AA19)</f>
        <v>291590</v>
      </c>
      <c r="AC19" s="36"/>
      <c r="AD19" s="80">
        <f t="shared" si="11"/>
        <v>3499080</v>
      </c>
      <c r="AE19">
        <v>12</v>
      </c>
    </row>
    <row r="20" spans="1:31" ht="34.5" customHeight="1">
      <c r="A20" s="206">
        <v>10</v>
      </c>
      <c r="B20" s="202" t="s">
        <v>173</v>
      </c>
      <c r="C20" s="198" t="s">
        <v>119</v>
      </c>
      <c r="D20" s="112">
        <v>5</v>
      </c>
      <c r="E20" s="91">
        <v>1755000</v>
      </c>
      <c r="F20" s="89">
        <v>1</v>
      </c>
      <c r="G20" s="92">
        <f>E20*F20</f>
        <v>1755000</v>
      </c>
      <c r="H20" s="89">
        <f>E20*1.2</f>
        <v>2106000</v>
      </c>
      <c r="I20" s="89"/>
      <c r="J20" s="89">
        <f t="shared" si="14"/>
        <v>692760</v>
      </c>
      <c r="K20" s="89"/>
      <c r="L20" s="89">
        <f>100000*F20</f>
        <v>100000</v>
      </c>
      <c r="M20" s="89">
        <f>40000*F20</f>
        <v>40000</v>
      </c>
      <c r="N20" s="111">
        <f>SUM(G20:M20)</f>
        <v>4693760</v>
      </c>
      <c r="O20" s="136">
        <f>N20+N21</f>
        <v>34770070</v>
      </c>
      <c r="P20" s="193">
        <f t="shared" si="8"/>
        <v>2938760</v>
      </c>
      <c r="Q20" s="198" t="s">
        <v>119</v>
      </c>
      <c r="R20" s="188" t="s">
        <v>111</v>
      </c>
      <c r="S20" s="194" t="str">
        <f t="shared" si="9"/>
        <v>김민지</v>
      </c>
      <c r="T20" s="90">
        <v>3</v>
      </c>
      <c r="U20" s="12">
        <f t="shared" si="10"/>
        <v>2897505.8333333335</v>
      </c>
      <c r="V20" s="12">
        <f t="shared" si="15"/>
        <v>85470</v>
      </c>
      <c r="W20" s="12">
        <f t="shared" si="16"/>
        <v>5590</v>
      </c>
      <c r="X20" s="12">
        <f t="shared" si="17"/>
        <v>130380</v>
      </c>
      <c r="Y20" s="12">
        <f>ROUNDDOWN((U20*4.5%/10),-1)</f>
        <v>13030</v>
      </c>
      <c r="Z20" s="12">
        <v>40000</v>
      </c>
      <c r="AA20" s="12">
        <f>ROUNDDOWN((U20*0.01),-1)</f>
        <v>28970</v>
      </c>
      <c r="AB20" s="12">
        <f>SUM(V20:AA20)</f>
        <v>303440</v>
      </c>
      <c r="AC20" s="36">
        <f>U20-AB20</f>
        <v>2594065.8333333335</v>
      </c>
      <c r="AD20" s="80">
        <f t="shared" si="11"/>
        <v>3641280</v>
      </c>
      <c r="AE20">
        <v>12</v>
      </c>
    </row>
    <row r="21" spans="1:31" ht="34.5" customHeight="1">
      <c r="A21" s="207"/>
      <c r="B21" s="203"/>
      <c r="C21" s="199"/>
      <c r="D21" s="112">
        <v>6</v>
      </c>
      <c r="E21" s="91">
        <v>1860000</v>
      </c>
      <c r="F21" s="89">
        <v>11</v>
      </c>
      <c r="G21" s="92">
        <f>E21*F21</f>
        <v>20460000</v>
      </c>
      <c r="H21" s="89"/>
      <c r="I21" s="89"/>
      <c r="J21" s="89">
        <f t="shared" si="14"/>
        <v>8076310</v>
      </c>
      <c r="K21" s="89"/>
      <c r="L21" s="89">
        <f>100000*F21</f>
        <v>1100000</v>
      </c>
      <c r="M21" s="89">
        <f>40000*F21</f>
        <v>440000</v>
      </c>
      <c r="N21" s="111">
        <f>SUM(G21:M21)</f>
        <v>30076310</v>
      </c>
      <c r="O21" s="137"/>
      <c r="P21" s="193">
        <f t="shared" si="8"/>
        <v>9616310</v>
      </c>
      <c r="Q21" s="199"/>
      <c r="R21" s="189"/>
      <c r="S21" s="194">
        <f t="shared" si="9"/>
        <v>0</v>
      </c>
      <c r="T21" s="90">
        <v>4</v>
      </c>
      <c r="U21" s="12">
        <f t="shared" si="10"/>
        <v>0</v>
      </c>
      <c r="V21" s="12">
        <f t="shared" si="15"/>
        <v>0</v>
      </c>
      <c r="W21" s="12">
        <f t="shared" si="16"/>
        <v>0</v>
      </c>
      <c r="X21" s="12">
        <f t="shared" si="17"/>
        <v>0</v>
      </c>
      <c r="Y21" s="12"/>
      <c r="Z21" s="12"/>
      <c r="AA21" s="12"/>
      <c r="AB21" s="12"/>
      <c r="AC21" s="36"/>
      <c r="AD21" s="80">
        <f t="shared" si="11"/>
        <v>0</v>
      </c>
      <c r="AE21">
        <v>12</v>
      </c>
    </row>
    <row r="22" spans="1:31" ht="34.5" customHeight="1">
      <c r="A22" s="206">
        <v>11</v>
      </c>
      <c r="B22" s="187" t="s">
        <v>111</v>
      </c>
      <c r="C22" s="188" t="s">
        <v>120</v>
      </c>
      <c r="D22" s="90">
        <v>5</v>
      </c>
      <c r="E22" s="91">
        <v>1755000</v>
      </c>
      <c r="F22" s="89">
        <v>8</v>
      </c>
      <c r="G22" s="92">
        <f t="shared" si="7"/>
        <v>14040000</v>
      </c>
      <c r="H22" s="89">
        <f>E22*1.2</f>
        <v>2106000</v>
      </c>
      <c r="I22" s="89"/>
      <c r="J22" s="89">
        <f t="shared" si="14"/>
        <v>5542100</v>
      </c>
      <c r="K22" s="89">
        <v>280000</v>
      </c>
      <c r="L22" s="89">
        <f t="shared" si="1"/>
        <v>800000</v>
      </c>
      <c r="M22" s="89">
        <f t="shared" si="2"/>
        <v>320000</v>
      </c>
      <c r="N22" s="111">
        <f t="shared" si="3"/>
        <v>23088100</v>
      </c>
      <c r="O22" s="136">
        <f>N22+N23</f>
        <v>34024940</v>
      </c>
      <c r="P22" s="193">
        <f t="shared" si="8"/>
        <v>9048100</v>
      </c>
      <c r="Q22" s="188" t="s">
        <v>120</v>
      </c>
      <c r="R22" s="188" t="s">
        <v>111</v>
      </c>
      <c r="S22" s="194" t="str">
        <f t="shared" si="9"/>
        <v>손성호</v>
      </c>
      <c r="T22" s="90">
        <v>3</v>
      </c>
      <c r="U22" s="12">
        <f t="shared" si="10"/>
        <v>2835411.6666666665</v>
      </c>
      <c r="V22" s="12">
        <f t="shared" si="15"/>
        <v>83640</v>
      </c>
      <c r="W22" s="12">
        <f t="shared" si="16"/>
        <v>5470</v>
      </c>
      <c r="X22" s="12">
        <f t="shared" si="17"/>
        <v>127590</v>
      </c>
      <c r="Y22" s="12">
        <f>ROUNDDOWN((U22*4.5%/10),-1)</f>
        <v>12750</v>
      </c>
      <c r="Z22" s="12">
        <v>40000</v>
      </c>
      <c r="AA22" s="12">
        <f>ROUNDDOWN((U22*0.01),-1)</f>
        <v>28350</v>
      </c>
      <c r="AB22" s="12">
        <f>SUM(V22:AA22)</f>
        <v>297800</v>
      </c>
      <c r="AC22" s="36">
        <f>U22-AB22</f>
        <v>2537611.6666666665</v>
      </c>
      <c r="AD22" s="80">
        <f t="shared" si="11"/>
        <v>3573600</v>
      </c>
      <c r="AE22">
        <v>12</v>
      </c>
    </row>
    <row r="23" spans="1:31" ht="34.5" customHeight="1">
      <c r="A23" s="207"/>
      <c r="B23" s="191"/>
      <c r="C23" s="189"/>
      <c r="D23" s="90">
        <v>6</v>
      </c>
      <c r="E23" s="91">
        <v>1860000</v>
      </c>
      <c r="F23" s="89">
        <v>4</v>
      </c>
      <c r="G23" s="92">
        <f t="shared" si="7"/>
        <v>7440000</v>
      </c>
      <c r="H23" s="89"/>
      <c r="I23" s="89"/>
      <c r="J23" s="89">
        <f t="shared" si="14"/>
        <v>2936840</v>
      </c>
      <c r="K23" s="89"/>
      <c r="L23" s="89">
        <f t="shared" si="1"/>
        <v>400000</v>
      </c>
      <c r="M23" s="89">
        <f t="shared" si="2"/>
        <v>160000</v>
      </c>
      <c r="N23" s="111">
        <f t="shared" si="3"/>
        <v>10936840</v>
      </c>
      <c r="O23" s="137"/>
      <c r="P23" s="193">
        <f t="shared" si="8"/>
        <v>3496840</v>
      </c>
      <c r="Q23" s="189"/>
      <c r="R23" s="189"/>
      <c r="S23" s="194">
        <f t="shared" si="9"/>
        <v>0</v>
      </c>
      <c r="T23" s="90">
        <v>4</v>
      </c>
      <c r="U23" s="12">
        <f t="shared" si="10"/>
        <v>0</v>
      </c>
      <c r="V23" s="12">
        <f t="shared" si="15"/>
        <v>0</v>
      </c>
      <c r="W23" s="12">
        <f t="shared" si="16"/>
        <v>0</v>
      </c>
      <c r="X23" s="12">
        <f t="shared" si="17"/>
        <v>0</v>
      </c>
      <c r="Y23" s="12"/>
      <c r="Z23" s="12"/>
      <c r="AA23" s="12"/>
      <c r="AB23" s="12"/>
      <c r="AC23" s="36"/>
      <c r="AD23" s="80">
        <f t="shared" si="11"/>
        <v>0</v>
      </c>
      <c r="AE23">
        <v>12</v>
      </c>
    </row>
    <row r="24" spans="1:31" ht="34.5" customHeight="1">
      <c r="A24" s="206">
        <v>12</v>
      </c>
      <c r="B24" s="202" t="s">
        <v>173</v>
      </c>
      <c r="C24" s="198" t="s">
        <v>121</v>
      </c>
      <c r="D24" s="181">
        <v>1</v>
      </c>
      <c r="E24" s="182">
        <v>1554000</v>
      </c>
      <c r="F24" s="183">
        <v>3</v>
      </c>
      <c r="G24" s="184">
        <f t="shared" si="7"/>
        <v>4662000</v>
      </c>
      <c r="H24" s="183">
        <f>E24*0.6</f>
        <v>932400</v>
      </c>
      <c r="I24" s="183"/>
      <c r="J24" s="183">
        <f t="shared" si="14"/>
        <v>1840260</v>
      </c>
      <c r="K24" s="183"/>
      <c r="L24" s="183">
        <f t="shared" si="1"/>
        <v>300000</v>
      </c>
      <c r="M24" s="183">
        <f t="shared" si="2"/>
        <v>120000</v>
      </c>
      <c r="N24" s="185">
        <f t="shared" si="3"/>
        <v>7854660</v>
      </c>
      <c r="O24" s="136">
        <f>N24+N25</f>
        <v>30185170</v>
      </c>
      <c r="P24" s="193">
        <f t="shared" si="8"/>
        <v>3192660</v>
      </c>
      <c r="Q24" s="198" t="s">
        <v>121</v>
      </c>
      <c r="R24" s="188" t="s">
        <v>111</v>
      </c>
      <c r="S24" s="194" t="str">
        <f t="shared" si="9"/>
        <v>박민지</v>
      </c>
      <c r="T24" s="90">
        <v>3</v>
      </c>
      <c r="U24" s="12">
        <f t="shared" si="10"/>
        <v>2515430.8333333335</v>
      </c>
      <c r="V24" s="12">
        <f t="shared" si="15"/>
        <v>74200</v>
      </c>
      <c r="W24" s="12">
        <f t="shared" si="16"/>
        <v>4860</v>
      </c>
      <c r="X24" s="12">
        <f t="shared" si="17"/>
        <v>113190</v>
      </c>
      <c r="Y24" s="12">
        <f>ROUNDDOWN((U24*4.5%/10),-1)</f>
        <v>11310</v>
      </c>
      <c r="Z24" s="12">
        <v>40000</v>
      </c>
      <c r="AA24" s="12">
        <f>ROUNDDOWN((U24*0.01),-1)</f>
        <v>25150</v>
      </c>
      <c r="AB24" s="12">
        <f>SUM(V24:AA24)</f>
        <v>268710</v>
      </c>
      <c r="AC24" s="36">
        <f>U24-AB24</f>
        <v>2246720.8333333335</v>
      </c>
      <c r="AD24" s="80">
        <f t="shared" si="11"/>
        <v>3224520</v>
      </c>
      <c r="AE24">
        <v>12</v>
      </c>
    </row>
    <row r="25" spans="1:31" ht="34.5" customHeight="1">
      <c r="A25" s="207"/>
      <c r="B25" s="203"/>
      <c r="C25" s="199"/>
      <c r="D25" s="181">
        <v>2</v>
      </c>
      <c r="E25" s="182">
        <v>1602000</v>
      </c>
      <c r="F25" s="183">
        <v>9</v>
      </c>
      <c r="G25" s="184">
        <f t="shared" si="7"/>
        <v>14418000</v>
      </c>
      <c r="H25" s="183">
        <f>E25*0.6</f>
        <v>961200</v>
      </c>
      <c r="I25" s="183"/>
      <c r="J25" s="183">
        <f t="shared" si="14"/>
        <v>5691310</v>
      </c>
      <c r="K25" s="183"/>
      <c r="L25" s="183">
        <f t="shared" si="1"/>
        <v>900000</v>
      </c>
      <c r="M25" s="183">
        <f t="shared" si="2"/>
        <v>360000</v>
      </c>
      <c r="N25" s="185">
        <f t="shared" si="3"/>
        <v>22330510</v>
      </c>
      <c r="O25" s="137"/>
      <c r="P25" s="193">
        <f t="shared" si="8"/>
        <v>7912510</v>
      </c>
      <c r="Q25" s="199"/>
      <c r="R25" s="189"/>
      <c r="S25" s="194">
        <f t="shared" si="9"/>
        <v>0</v>
      </c>
      <c r="T25" s="90">
        <v>4</v>
      </c>
      <c r="U25" s="12">
        <f t="shared" si="10"/>
        <v>0</v>
      </c>
      <c r="V25" s="12">
        <f t="shared" si="15"/>
        <v>0</v>
      </c>
      <c r="W25" s="12">
        <f t="shared" si="16"/>
        <v>0</v>
      </c>
      <c r="X25" s="12">
        <f t="shared" si="17"/>
        <v>0</v>
      </c>
      <c r="Y25" s="12"/>
      <c r="Z25" s="12"/>
      <c r="AA25" s="12"/>
      <c r="AB25" s="12"/>
      <c r="AC25" s="36"/>
      <c r="AD25" s="80">
        <f t="shared" si="11"/>
        <v>0</v>
      </c>
      <c r="AE25">
        <v>12</v>
      </c>
    </row>
    <row r="26" spans="1:31" ht="34.5" customHeight="1">
      <c r="A26" s="206">
        <v>13</v>
      </c>
      <c r="B26" s="202" t="s">
        <v>173</v>
      </c>
      <c r="C26" s="198" t="s">
        <v>122</v>
      </c>
      <c r="D26" s="90">
        <v>5</v>
      </c>
      <c r="E26" s="91">
        <v>1755000</v>
      </c>
      <c r="F26" s="89">
        <v>7</v>
      </c>
      <c r="G26" s="92">
        <f>E26*F26</f>
        <v>12285000</v>
      </c>
      <c r="H26" s="89">
        <f>E26*1.2</f>
        <v>2106000</v>
      </c>
      <c r="I26" s="89"/>
      <c r="J26" s="89">
        <f t="shared" si="14"/>
        <v>4849340</v>
      </c>
      <c r="K26" s="89"/>
      <c r="L26" s="89">
        <f>100000*F26</f>
        <v>700000</v>
      </c>
      <c r="M26" s="89">
        <f>40000*F26</f>
        <v>280000</v>
      </c>
      <c r="N26" s="111">
        <f>SUM(G26:M26)</f>
        <v>20220340</v>
      </c>
      <c r="O26" s="136">
        <f>N26+N27</f>
        <v>33891390</v>
      </c>
      <c r="P26" s="193">
        <f t="shared" si="8"/>
        <v>7935340</v>
      </c>
      <c r="Q26" s="198" t="s">
        <v>122</v>
      </c>
      <c r="R26" s="188" t="s">
        <v>111</v>
      </c>
      <c r="S26" s="194" t="str">
        <f t="shared" si="9"/>
        <v>정동민</v>
      </c>
      <c r="T26" s="90">
        <v>3</v>
      </c>
      <c r="U26" s="12">
        <f t="shared" si="10"/>
        <v>2824282.5</v>
      </c>
      <c r="V26" s="12">
        <f t="shared" si="15"/>
        <v>83310</v>
      </c>
      <c r="W26" s="12">
        <f t="shared" si="16"/>
        <v>5450</v>
      </c>
      <c r="X26" s="12">
        <f t="shared" si="17"/>
        <v>127090</v>
      </c>
      <c r="Y26" s="12">
        <f>ROUNDDOWN((U26*4.5%/10),-1)</f>
        <v>12700</v>
      </c>
      <c r="Z26" s="12">
        <v>40000</v>
      </c>
      <c r="AA26" s="12">
        <f>ROUNDDOWN((U26*0.01),-1)</f>
        <v>28240</v>
      </c>
      <c r="AB26" s="12">
        <f>SUM(V26:AA26)</f>
        <v>296790</v>
      </c>
      <c r="AC26" s="36">
        <f>U26-AB26</f>
        <v>2527492.5</v>
      </c>
      <c r="AD26" s="80">
        <f t="shared" si="11"/>
        <v>3561480</v>
      </c>
      <c r="AE26">
        <v>12</v>
      </c>
    </row>
    <row r="27" spans="1:31" ht="34.5" customHeight="1">
      <c r="A27" s="207"/>
      <c r="B27" s="203"/>
      <c r="C27" s="199"/>
      <c r="D27" s="90">
        <v>6</v>
      </c>
      <c r="E27" s="91">
        <v>1860000</v>
      </c>
      <c r="F27" s="89">
        <v>5</v>
      </c>
      <c r="G27" s="92">
        <f>E27*F27</f>
        <v>9300000</v>
      </c>
      <c r="H27" s="89"/>
      <c r="I27" s="89"/>
      <c r="J27" s="89">
        <f t="shared" si="14"/>
        <v>3671050</v>
      </c>
      <c r="K27" s="89"/>
      <c r="L27" s="89">
        <f>100000*F27</f>
        <v>500000</v>
      </c>
      <c r="M27" s="89">
        <f>40000*F27</f>
        <v>200000</v>
      </c>
      <c r="N27" s="111">
        <f>SUM(G27:M27)</f>
        <v>13671050</v>
      </c>
      <c r="O27" s="137"/>
      <c r="P27" s="193">
        <f t="shared" si="8"/>
        <v>4371050</v>
      </c>
      <c r="Q27" s="199"/>
      <c r="R27" s="189"/>
      <c r="S27" s="194">
        <f t="shared" si="9"/>
        <v>0</v>
      </c>
      <c r="T27" s="90">
        <v>4</v>
      </c>
      <c r="U27" s="12">
        <f t="shared" si="10"/>
        <v>0</v>
      </c>
      <c r="V27" s="12">
        <f t="shared" si="15"/>
        <v>0</v>
      </c>
      <c r="W27" s="12">
        <f t="shared" si="16"/>
        <v>0</v>
      </c>
      <c r="X27" s="12">
        <f t="shared" si="17"/>
        <v>0</v>
      </c>
      <c r="Y27" s="12"/>
      <c r="Z27" s="12"/>
      <c r="AA27" s="12"/>
      <c r="AB27" s="12"/>
      <c r="AC27" s="36"/>
      <c r="AD27" s="80">
        <f t="shared" si="11"/>
        <v>0</v>
      </c>
      <c r="AE27">
        <v>12</v>
      </c>
    </row>
    <row r="28" spans="1:31" ht="34.5" customHeight="1">
      <c r="A28" s="275">
        <v>14</v>
      </c>
      <c r="B28" s="202" t="s">
        <v>173</v>
      </c>
      <c r="C28" s="198" t="s">
        <v>178</v>
      </c>
      <c r="D28" s="90">
        <v>4</v>
      </c>
      <c r="E28" s="91">
        <v>1704000</v>
      </c>
      <c r="F28" s="89"/>
      <c r="G28" s="92">
        <f>E28*F28</f>
        <v>0</v>
      </c>
      <c r="H28" s="89"/>
      <c r="I28" s="89"/>
      <c r="J28" s="89">
        <f>ROUNDDOWN((G28*55/209*1.5),-1)</f>
        <v>0</v>
      </c>
      <c r="K28" s="89"/>
      <c r="L28" s="89">
        <f>100000*F28</f>
        <v>0</v>
      </c>
      <c r="M28" s="89">
        <f>40000*F28</f>
        <v>0</v>
      </c>
      <c r="N28" s="111">
        <f>SUM(G28:M28)</f>
        <v>0</v>
      </c>
      <c r="O28" s="136">
        <f>N28+N29</f>
        <v>25877630</v>
      </c>
      <c r="P28" s="193">
        <f>SUM(H28:M28)</f>
        <v>0</v>
      </c>
      <c r="Q28" s="198" t="s">
        <v>122</v>
      </c>
      <c r="R28" s="188" t="s">
        <v>111</v>
      </c>
      <c r="S28" s="194" t="str">
        <f>Q28</f>
        <v>정동민</v>
      </c>
      <c r="T28" s="90">
        <v>3</v>
      </c>
      <c r="U28" s="12">
        <f>O28/AE28</f>
        <v>2156469.1666666665</v>
      </c>
      <c r="V28" s="12">
        <f>ROUNDDOWN((U28*$E$46),-1)</f>
        <v>63610</v>
      </c>
      <c r="W28" s="12">
        <f>ROUNDDOWN((V28*$E$47),-1)</f>
        <v>4160</v>
      </c>
      <c r="X28" s="12">
        <f>ROUNDDOWN((U28*$E$48),-1)</f>
        <v>97040</v>
      </c>
      <c r="Y28" s="12">
        <f>ROUNDDOWN((U28*4.5%/10),-1)</f>
        <v>9700</v>
      </c>
      <c r="Z28" s="12">
        <v>40000</v>
      </c>
      <c r="AA28" s="12">
        <f>ROUNDDOWN((U28*0.01),-1)</f>
        <v>21560</v>
      </c>
      <c r="AB28" s="12">
        <f>SUM(V28:AA28)</f>
        <v>236070</v>
      </c>
      <c r="AC28" s="36">
        <f>U28-AB28</f>
        <v>1920399.1666666665</v>
      </c>
      <c r="AD28" s="80">
        <f>AB28*AE28</f>
        <v>2832840</v>
      </c>
      <c r="AE28">
        <v>12</v>
      </c>
    </row>
    <row r="29" spans="1:31" ht="34.5" customHeight="1">
      <c r="A29" s="276"/>
      <c r="B29" s="203"/>
      <c r="C29" s="199"/>
      <c r="D29" s="90">
        <v>5</v>
      </c>
      <c r="E29" s="91">
        <v>1755000</v>
      </c>
      <c r="F29" s="89">
        <v>10</v>
      </c>
      <c r="G29" s="92">
        <f>E29*F29</f>
        <v>17550000</v>
      </c>
      <c r="H29" s="89"/>
      <c r="I29" s="89"/>
      <c r="J29" s="89">
        <f>ROUNDDOWN((G29*55/209*1.5),-1)</f>
        <v>6927630</v>
      </c>
      <c r="K29" s="89"/>
      <c r="L29" s="89">
        <f>100000*F29</f>
        <v>1000000</v>
      </c>
      <c r="M29" s="89">
        <f>40000*F29</f>
        <v>400000</v>
      </c>
      <c r="N29" s="111">
        <f>SUM(G29:M29)</f>
        <v>25877630</v>
      </c>
      <c r="O29" s="137"/>
      <c r="P29" s="193">
        <f>SUM(H29:M29)</f>
        <v>8327630</v>
      </c>
      <c r="Q29" s="199"/>
      <c r="R29" s="189"/>
      <c r="S29" s="194">
        <f>Q29</f>
        <v>0</v>
      </c>
      <c r="T29" s="90">
        <v>4</v>
      </c>
      <c r="U29" s="12">
        <f>O29/AE29</f>
        <v>0</v>
      </c>
      <c r="V29" s="12">
        <f>ROUNDDOWN((U29*$E$46),-1)</f>
        <v>0</v>
      </c>
      <c r="W29" s="12">
        <f>ROUNDDOWN((V29*$E$47),-1)</f>
        <v>0</v>
      </c>
      <c r="X29" s="12">
        <f>ROUNDDOWN((U29*$E$48),-1)</f>
        <v>0</v>
      </c>
      <c r="Y29" s="12"/>
      <c r="Z29" s="12"/>
      <c r="AA29" s="12"/>
      <c r="AB29" s="12"/>
      <c r="AC29" s="36"/>
      <c r="AD29" s="80">
        <f>AB29*AE29</f>
        <v>0</v>
      </c>
      <c r="AE29">
        <v>12</v>
      </c>
    </row>
    <row r="30" spans="1:31" ht="34.5" customHeight="1">
      <c r="A30" s="178">
        <v>15</v>
      </c>
      <c r="B30" s="179" t="s">
        <v>167</v>
      </c>
      <c r="C30" s="180" t="s">
        <v>166</v>
      </c>
      <c r="D30" s="112">
        <v>5</v>
      </c>
      <c r="E30" s="113">
        <v>1978000</v>
      </c>
      <c r="F30" s="114">
        <v>12</v>
      </c>
      <c r="G30" s="115">
        <f t="shared" si="7"/>
        <v>23736000</v>
      </c>
      <c r="H30" s="114">
        <f>E30*1.2</f>
        <v>2373600</v>
      </c>
      <c r="I30" s="114"/>
      <c r="J30" s="114">
        <f>ROUNDDOWN((G30*35/209*1.5),-1)</f>
        <v>5962390</v>
      </c>
      <c r="K30" s="114"/>
      <c r="L30" s="114">
        <f t="shared" si="1"/>
        <v>1200000</v>
      </c>
      <c r="M30" s="114">
        <f t="shared" si="2"/>
        <v>480000</v>
      </c>
      <c r="N30" s="116">
        <f t="shared" si="3"/>
        <v>33751990</v>
      </c>
      <c r="O30" s="136">
        <f>N30</f>
        <v>33751990</v>
      </c>
      <c r="P30" s="193">
        <f t="shared" si="8"/>
        <v>10015990</v>
      </c>
      <c r="Q30" s="180" t="s">
        <v>166</v>
      </c>
      <c r="R30" s="180" t="s">
        <v>118</v>
      </c>
      <c r="S30" s="194" t="str">
        <f t="shared" si="9"/>
        <v>신규</v>
      </c>
      <c r="T30" s="112">
        <v>1</v>
      </c>
      <c r="U30" s="12">
        <f t="shared" si="10"/>
        <v>2812665.8333333335</v>
      </c>
      <c r="V30" s="12">
        <f aca="true" t="shared" si="18" ref="V30:V42">ROUNDDOWN((U30*$E$46),-1)</f>
        <v>82970</v>
      </c>
      <c r="W30" s="12">
        <f aca="true" t="shared" si="19" ref="W30:W42">ROUNDDOWN((V30*$E$47),-1)</f>
        <v>5430</v>
      </c>
      <c r="X30" s="12">
        <f aca="true" t="shared" si="20" ref="X30:X42">ROUNDDOWN((U30*$E$48),-1)</f>
        <v>126560</v>
      </c>
      <c r="Y30" s="12">
        <f>ROUNDDOWN((U30*4.5%/10),-1)</f>
        <v>12650</v>
      </c>
      <c r="Z30" s="12">
        <v>40000</v>
      </c>
      <c r="AA30" s="12">
        <f>ROUNDDOWN((U30*0.01),-1)</f>
        <v>28120</v>
      </c>
      <c r="AB30" s="12">
        <f>SUM(V30:AA30)</f>
        <v>295730</v>
      </c>
      <c r="AC30" s="36">
        <f>U30-AB30</f>
        <v>2516935.8333333335</v>
      </c>
      <c r="AD30" s="80">
        <f t="shared" si="11"/>
        <v>3548760</v>
      </c>
      <c r="AE30">
        <v>12</v>
      </c>
    </row>
    <row r="31" spans="1:31" ht="34.5" customHeight="1">
      <c r="A31" s="186">
        <v>16</v>
      </c>
      <c r="B31" s="187" t="s">
        <v>123</v>
      </c>
      <c r="C31" s="188" t="s">
        <v>124</v>
      </c>
      <c r="D31" s="90">
        <v>2</v>
      </c>
      <c r="E31" s="91">
        <v>1415000</v>
      </c>
      <c r="F31" s="89">
        <v>3</v>
      </c>
      <c r="G31" s="92">
        <f t="shared" si="7"/>
        <v>4245000</v>
      </c>
      <c r="H31" s="89">
        <f>E31*0.6</f>
        <v>849000</v>
      </c>
      <c r="I31" s="89"/>
      <c r="J31" s="89">
        <f>ROUNDDOWN((G31*55/209*1.5),-1)</f>
        <v>1675650</v>
      </c>
      <c r="K31" s="89"/>
      <c r="L31" s="89">
        <f t="shared" si="1"/>
        <v>300000</v>
      </c>
      <c r="M31" s="89"/>
      <c r="N31" s="111">
        <f t="shared" si="3"/>
        <v>7069650</v>
      </c>
      <c r="O31" s="136">
        <f>N31+N32</f>
        <v>27238250</v>
      </c>
      <c r="P31" s="193">
        <f t="shared" si="8"/>
        <v>2824650</v>
      </c>
      <c r="Q31" s="188" t="s">
        <v>124</v>
      </c>
      <c r="R31" s="188" t="s">
        <v>123</v>
      </c>
      <c r="S31" s="194" t="str">
        <f t="shared" si="9"/>
        <v>김봉란</v>
      </c>
      <c r="T31" s="90">
        <v>1</v>
      </c>
      <c r="U31" s="12">
        <f t="shared" si="10"/>
        <v>2269854.1666666665</v>
      </c>
      <c r="V31" s="12">
        <f t="shared" si="18"/>
        <v>66960</v>
      </c>
      <c r="W31" s="12">
        <f t="shared" si="19"/>
        <v>4380</v>
      </c>
      <c r="X31" s="12">
        <f t="shared" si="20"/>
        <v>102140</v>
      </c>
      <c r="Y31" s="12">
        <f>ROUNDDOWN((U31*4.5%/10),-1)</f>
        <v>10210</v>
      </c>
      <c r="Z31" s="12">
        <v>40000</v>
      </c>
      <c r="AA31" s="12">
        <f>ROUNDDOWN((U31*0.01),-1)</f>
        <v>22690</v>
      </c>
      <c r="AB31" s="12">
        <f>SUM(V31:AA31)</f>
        <v>246380</v>
      </c>
      <c r="AC31" s="36">
        <f>U31-AB31</f>
        <v>2023474.1666666665</v>
      </c>
      <c r="AD31" s="80">
        <f t="shared" si="11"/>
        <v>2956560</v>
      </c>
      <c r="AE31">
        <v>12</v>
      </c>
    </row>
    <row r="32" spans="1:31" ht="34.5" customHeight="1">
      <c r="A32" s="190"/>
      <c r="B32" s="191"/>
      <c r="C32" s="189"/>
      <c r="D32" s="90">
        <v>3</v>
      </c>
      <c r="E32" s="91">
        <v>1465000</v>
      </c>
      <c r="F32" s="89">
        <v>9</v>
      </c>
      <c r="G32" s="92">
        <f t="shared" si="7"/>
        <v>13185000</v>
      </c>
      <c r="H32" s="89">
        <f aca="true" t="shared" si="21" ref="H32:H40">E32*0.6</f>
        <v>879000</v>
      </c>
      <c r="I32" s="89"/>
      <c r="J32" s="89">
        <f>ROUNDDOWN((G32*55/209*1.5),-1)</f>
        <v>5204600</v>
      </c>
      <c r="K32" s="89"/>
      <c r="L32" s="89">
        <f t="shared" si="1"/>
        <v>900000</v>
      </c>
      <c r="M32" s="89"/>
      <c r="N32" s="111">
        <f t="shared" si="3"/>
        <v>20168600</v>
      </c>
      <c r="O32" s="137"/>
      <c r="P32" s="193">
        <f t="shared" si="8"/>
        <v>6983600</v>
      </c>
      <c r="Q32" s="189"/>
      <c r="R32" s="189"/>
      <c r="S32" s="194">
        <f t="shared" si="9"/>
        <v>0</v>
      </c>
      <c r="T32" s="90">
        <v>2</v>
      </c>
      <c r="U32" s="12">
        <f t="shared" si="10"/>
        <v>0</v>
      </c>
      <c r="V32" s="12">
        <f t="shared" si="18"/>
        <v>0</v>
      </c>
      <c r="W32" s="12">
        <f t="shared" si="19"/>
        <v>0</v>
      </c>
      <c r="X32" s="12">
        <f t="shared" si="20"/>
        <v>0</v>
      </c>
      <c r="Y32" s="12"/>
      <c r="Z32" s="12"/>
      <c r="AA32" s="12"/>
      <c r="AB32" s="12"/>
      <c r="AC32" s="36"/>
      <c r="AD32" s="80">
        <f t="shared" si="11"/>
        <v>0</v>
      </c>
      <c r="AE32">
        <v>12</v>
      </c>
    </row>
    <row r="33" spans="1:31" ht="34.5" customHeight="1">
      <c r="A33" s="186">
        <v>17</v>
      </c>
      <c r="B33" s="187" t="s">
        <v>123</v>
      </c>
      <c r="C33" s="188" t="s">
        <v>125</v>
      </c>
      <c r="D33" s="90">
        <v>2</v>
      </c>
      <c r="E33" s="91">
        <v>1415000</v>
      </c>
      <c r="F33" s="89">
        <v>9</v>
      </c>
      <c r="G33" s="92">
        <f t="shared" si="7"/>
        <v>12735000</v>
      </c>
      <c r="H33" s="89">
        <f>E33*1.2</f>
        <v>1698000</v>
      </c>
      <c r="I33" s="89"/>
      <c r="J33" s="89">
        <f>ROUNDDOWN((G33*55/209*1.5),-1)</f>
        <v>5026970</v>
      </c>
      <c r="K33" s="89">
        <f>F33*40000</f>
        <v>360000</v>
      </c>
      <c r="L33" s="89">
        <f t="shared" si="1"/>
        <v>900000</v>
      </c>
      <c r="M33" s="89"/>
      <c r="N33" s="111">
        <f t="shared" si="3"/>
        <v>20719970</v>
      </c>
      <c r="O33" s="136">
        <f>N33+N34</f>
        <v>27269830</v>
      </c>
      <c r="P33" s="193">
        <f t="shared" si="8"/>
        <v>7984970</v>
      </c>
      <c r="Q33" s="188" t="s">
        <v>125</v>
      </c>
      <c r="R33" s="188" t="s">
        <v>123</v>
      </c>
      <c r="S33" s="194" t="str">
        <f t="shared" si="9"/>
        <v>서숙재</v>
      </c>
      <c r="T33" s="90">
        <v>1</v>
      </c>
      <c r="U33" s="12">
        <f t="shared" si="10"/>
        <v>2272485.8333333335</v>
      </c>
      <c r="V33" s="12">
        <f t="shared" si="18"/>
        <v>67030</v>
      </c>
      <c r="W33" s="12">
        <f t="shared" si="19"/>
        <v>4390</v>
      </c>
      <c r="X33" s="12">
        <f t="shared" si="20"/>
        <v>102260</v>
      </c>
      <c r="Y33" s="12">
        <f>ROUNDDOWN((U33*4.5%/10),-1)</f>
        <v>10220</v>
      </c>
      <c r="Z33" s="12">
        <v>40000</v>
      </c>
      <c r="AA33" s="12">
        <f>ROUNDDOWN((U33*0.01),-1)</f>
        <v>22720</v>
      </c>
      <c r="AB33" s="12">
        <f>SUM(V33:AA33)</f>
        <v>246620</v>
      </c>
      <c r="AC33" s="36">
        <f>U33-AB33</f>
        <v>2025865.8333333335</v>
      </c>
      <c r="AD33" s="80">
        <f t="shared" si="11"/>
        <v>2959440</v>
      </c>
      <c r="AE33">
        <v>12</v>
      </c>
    </row>
    <row r="34" spans="1:31" ht="34.5" customHeight="1">
      <c r="A34" s="190"/>
      <c r="B34" s="191"/>
      <c r="C34" s="189"/>
      <c r="D34" s="90">
        <v>3</v>
      </c>
      <c r="E34" s="91">
        <v>1465000</v>
      </c>
      <c r="F34" s="89">
        <v>3</v>
      </c>
      <c r="G34" s="92">
        <f t="shared" si="7"/>
        <v>4395000</v>
      </c>
      <c r="H34" s="89"/>
      <c r="I34" s="89"/>
      <c r="J34" s="89">
        <f>ROUNDDOWN((G34*55/209*1.5),-1)</f>
        <v>1734860</v>
      </c>
      <c r="K34" s="89">
        <f>F34*40000</f>
        <v>120000</v>
      </c>
      <c r="L34" s="89">
        <f t="shared" si="1"/>
        <v>300000</v>
      </c>
      <c r="M34" s="89"/>
      <c r="N34" s="111">
        <f t="shared" si="3"/>
        <v>6549860</v>
      </c>
      <c r="O34" s="137"/>
      <c r="P34" s="193">
        <f t="shared" si="8"/>
        <v>2154860</v>
      </c>
      <c r="Q34" s="189"/>
      <c r="R34" s="189"/>
      <c r="S34" s="194">
        <f t="shared" si="9"/>
        <v>0</v>
      </c>
      <c r="T34" s="90">
        <v>2</v>
      </c>
      <c r="U34" s="12">
        <f t="shared" si="10"/>
        <v>0</v>
      </c>
      <c r="V34" s="12">
        <f t="shared" si="18"/>
        <v>0</v>
      </c>
      <c r="W34" s="12">
        <f t="shared" si="19"/>
        <v>0</v>
      </c>
      <c r="X34" s="12">
        <f t="shared" si="20"/>
        <v>0</v>
      </c>
      <c r="Y34" s="12"/>
      <c r="Z34" s="12"/>
      <c r="AA34" s="12"/>
      <c r="AB34" s="12"/>
      <c r="AC34" s="36"/>
      <c r="AD34" s="80">
        <f t="shared" si="11"/>
        <v>0</v>
      </c>
      <c r="AE34">
        <v>12</v>
      </c>
    </row>
    <row r="35" spans="1:31" ht="34.5" customHeight="1">
      <c r="A35" s="186">
        <v>18</v>
      </c>
      <c r="B35" s="187" t="s">
        <v>126</v>
      </c>
      <c r="C35" s="188" t="s">
        <v>127</v>
      </c>
      <c r="D35" s="90">
        <v>5</v>
      </c>
      <c r="E35" s="91">
        <v>1515000</v>
      </c>
      <c r="F35" s="89">
        <v>11</v>
      </c>
      <c r="G35" s="92">
        <f t="shared" si="7"/>
        <v>16665000</v>
      </c>
      <c r="H35" s="89">
        <f>E35*1.2</f>
        <v>1818000</v>
      </c>
      <c r="I35" s="89"/>
      <c r="J35" s="89">
        <f aca="true" t="shared" si="22" ref="J35:J42">ROUNDDOWN((G35*35/209*1.5),-1)</f>
        <v>4186180</v>
      </c>
      <c r="K35" s="89">
        <f>F35*80000</f>
        <v>880000</v>
      </c>
      <c r="L35" s="89">
        <f t="shared" si="1"/>
        <v>1100000</v>
      </c>
      <c r="M35" s="89"/>
      <c r="N35" s="111">
        <f t="shared" si="3"/>
        <v>24649180</v>
      </c>
      <c r="O35" s="136">
        <f>N35+N36</f>
        <v>26789800</v>
      </c>
      <c r="P35" s="193">
        <f t="shared" si="8"/>
        <v>7984180</v>
      </c>
      <c r="Q35" s="188" t="s">
        <v>127</v>
      </c>
      <c r="R35" s="188" t="s">
        <v>126</v>
      </c>
      <c r="S35" s="194" t="str">
        <f t="shared" si="9"/>
        <v>정안순</v>
      </c>
      <c r="T35" s="90">
        <v>4</v>
      </c>
      <c r="U35" s="12">
        <f t="shared" si="10"/>
        <v>2232483.3333333335</v>
      </c>
      <c r="V35" s="12">
        <f t="shared" si="18"/>
        <v>65850</v>
      </c>
      <c r="W35" s="12">
        <f t="shared" si="19"/>
        <v>4310</v>
      </c>
      <c r="X35" s="12">
        <f t="shared" si="20"/>
        <v>100460</v>
      </c>
      <c r="Y35" s="12">
        <f>ROUNDDOWN((U35*4.5%/10),-1)</f>
        <v>10040</v>
      </c>
      <c r="Z35" s="12">
        <v>40000</v>
      </c>
      <c r="AA35" s="12">
        <f>ROUNDDOWN((U35*0.01),-1)</f>
        <v>22320</v>
      </c>
      <c r="AB35" s="12">
        <f>SUM(V35:AA35)</f>
        <v>242980</v>
      </c>
      <c r="AC35" s="36">
        <f>U35-AB35</f>
        <v>1989503.3333333335</v>
      </c>
      <c r="AD35" s="80">
        <f t="shared" si="11"/>
        <v>2915760</v>
      </c>
      <c r="AE35">
        <v>12</v>
      </c>
    </row>
    <row r="36" spans="1:31" ht="34.5" customHeight="1">
      <c r="A36" s="190"/>
      <c r="B36" s="191"/>
      <c r="C36" s="189"/>
      <c r="D36" s="90">
        <v>6</v>
      </c>
      <c r="E36" s="91">
        <v>1567000</v>
      </c>
      <c r="F36" s="89">
        <v>1</v>
      </c>
      <c r="G36" s="92">
        <f t="shared" si="7"/>
        <v>1567000</v>
      </c>
      <c r="H36" s="89"/>
      <c r="I36" s="89"/>
      <c r="J36" s="89">
        <f t="shared" si="22"/>
        <v>393620</v>
      </c>
      <c r="K36" s="89">
        <f>F36*80000</f>
        <v>80000</v>
      </c>
      <c r="L36" s="89">
        <f t="shared" si="1"/>
        <v>100000</v>
      </c>
      <c r="M36" s="89"/>
      <c r="N36" s="111">
        <f t="shared" si="3"/>
        <v>2140620</v>
      </c>
      <c r="O36" s="137"/>
      <c r="P36" s="193">
        <f t="shared" si="8"/>
        <v>573620</v>
      </c>
      <c r="Q36" s="189"/>
      <c r="R36" s="189"/>
      <c r="S36" s="194">
        <f t="shared" si="9"/>
        <v>0</v>
      </c>
      <c r="T36" s="90">
        <v>5</v>
      </c>
      <c r="U36" s="12">
        <f t="shared" si="10"/>
        <v>0</v>
      </c>
      <c r="V36" s="12">
        <f t="shared" si="18"/>
        <v>0</v>
      </c>
      <c r="W36" s="12">
        <f t="shared" si="19"/>
        <v>0</v>
      </c>
      <c r="X36" s="12">
        <f t="shared" si="20"/>
        <v>0</v>
      </c>
      <c r="Y36" s="12"/>
      <c r="Z36" s="12"/>
      <c r="AA36" s="12"/>
      <c r="AB36" s="12"/>
      <c r="AC36" s="36"/>
      <c r="AD36" s="80">
        <f t="shared" si="11"/>
        <v>0</v>
      </c>
      <c r="AE36">
        <v>12</v>
      </c>
    </row>
    <row r="37" spans="1:31" ht="34.5" customHeight="1">
      <c r="A37" s="186">
        <v>19</v>
      </c>
      <c r="B37" s="187" t="s">
        <v>174</v>
      </c>
      <c r="C37" s="188" t="s">
        <v>168</v>
      </c>
      <c r="D37" s="90">
        <v>1</v>
      </c>
      <c r="E37" s="91">
        <v>1665000</v>
      </c>
      <c r="F37" s="89">
        <v>4</v>
      </c>
      <c r="G37" s="92">
        <f t="shared" si="7"/>
        <v>6660000</v>
      </c>
      <c r="H37" s="89">
        <f t="shared" si="21"/>
        <v>999000</v>
      </c>
      <c r="I37" s="89"/>
      <c r="J37" s="89">
        <f t="shared" si="22"/>
        <v>1672960</v>
      </c>
      <c r="K37" s="89"/>
      <c r="L37" s="89">
        <f t="shared" si="1"/>
        <v>400000</v>
      </c>
      <c r="M37" s="89">
        <f>40000*F37</f>
        <v>160000</v>
      </c>
      <c r="N37" s="111">
        <f>SUM(G37:M37)</f>
        <v>9891960</v>
      </c>
      <c r="O37" s="136">
        <f>N37+N38</f>
        <v>29292240</v>
      </c>
      <c r="P37" s="193">
        <f t="shared" si="8"/>
        <v>3231960</v>
      </c>
      <c r="Q37" s="188" t="s">
        <v>168</v>
      </c>
      <c r="R37" s="188" t="s">
        <v>128</v>
      </c>
      <c r="S37" s="194" t="str">
        <f t="shared" si="9"/>
        <v>박은정</v>
      </c>
      <c r="T37" s="90">
        <v>5</v>
      </c>
      <c r="U37" s="12">
        <f t="shared" si="10"/>
        <v>2441020</v>
      </c>
      <c r="V37" s="12">
        <f t="shared" si="18"/>
        <v>72010</v>
      </c>
      <c r="W37" s="12">
        <f t="shared" si="19"/>
        <v>4710</v>
      </c>
      <c r="X37" s="12">
        <f t="shared" si="20"/>
        <v>109840</v>
      </c>
      <c r="Y37" s="12">
        <f>ROUNDDOWN((U37*4.5%/10),-1)</f>
        <v>10980</v>
      </c>
      <c r="Z37" s="12">
        <v>40000</v>
      </c>
      <c r="AA37" s="12">
        <f>ROUNDDOWN((U37*0.01),-1)</f>
        <v>24410</v>
      </c>
      <c r="AB37" s="12">
        <f>SUM(V37:AA37)</f>
        <v>261950</v>
      </c>
      <c r="AC37" s="36">
        <f>U37-AB37</f>
        <v>2179070</v>
      </c>
      <c r="AD37" s="80">
        <f t="shared" si="11"/>
        <v>3143400</v>
      </c>
      <c r="AE37">
        <v>12</v>
      </c>
    </row>
    <row r="38" spans="1:31" ht="34.5" customHeight="1">
      <c r="A38" s="190"/>
      <c r="B38" s="191"/>
      <c r="C38" s="189"/>
      <c r="D38" s="90">
        <v>2</v>
      </c>
      <c r="E38" s="91">
        <v>1723000</v>
      </c>
      <c r="F38" s="89">
        <v>8</v>
      </c>
      <c r="G38" s="92">
        <f>E38*F38</f>
        <v>13784000</v>
      </c>
      <c r="H38" s="89">
        <f t="shared" si="21"/>
        <v>1033800</v>
      </c>
      <c r="I38" s="89"/>
      <c r="J38" s="89">
        <f t="shared" si="22"/>
        <v>3462480</v>
      </c>
      <c r="K38" s="89"/>
      <c r="L38" s="89">
        <f>100000*F38</f>
        <v>800000</v>
      </c>
      <c r="M38" s="89">
        <f>40000*F38</f>
        <v>320000</v>
      </c>
      <c r="N38" s="111">
        <f>SUM(G38:M38)</f>
        <v>19400280</v>
      </c>
      <c r="O38" s="137"/>
      <c r="P38" s="193">
        <f t="shared" si="8"/>
        <v>5616280</v>
      </c>
      <c r="Q38" s="189"/>
      <c r="R38" s="189"/>
      <c r="S38" s="194">
        <f t="shared" si="9"/>
        <v>0</v>
      </c>
      <c r="T38" s="90">
        <v>6</v>
      </c>
      <c r="U38" s="12">
        <f t="shared" si="10"/>
        <v>0</v>
      </c>
      <c r="V38" s="12">
        <f t="shared" si="18"/>
        <v>0</v>
      </c>
      <c r="W38" s="12">
        <f t="shared" si="19"/>
        <v>0</v>
      </c>
      <c r="X38" s="12">
        <f t="shared" si="20"/>
        <v>0</v>
      </c>
      <c r="Y38" s="12"/>
      <c r="Z38" s="12"/>
      <c r="AA38" s="12"/>
      <c r="AB38" s="12"/>
      <c r="AC38" s="36"/>
      <c r="AD38" s="80">
        <f t="shared" si="11"/>
        <v>0</v>
      </c>
      <c r="AE38">
        <v>12</v>
      </c>
    </row>
    <row r="39" spans="1:31" ht="34.5" customHeight="1">
      <c r="A39" s="186">
        <v>20</v>
      </c>
      <c r="B39" s="187" t="s">
        <v>129</v>
      </c>
      <c r="C39" s="188" t="s">
        <v>130</v>
      </c>
      <c r="D39" s="90">
        <v>5</v>
      </c>
      <c r="E39" s="91">
        <v>1978000</v>
      </c>
      <c r="F39" s="89">
        <v>3</v>
      </c>
      <c r="G39" s="92">
        <f>E39*F39</f>
        <v>5934000</v>
      </c>
      <c r="H39" s="89">
        <f t="shared" si="21"/>
        <v>1186800</v>
      </c>
      <c r="I39" s="89"/>
      <c r="J39" s="89">
        <f t="shared" si="22"/>
        <v>1490590</v>
      </c>
      <c r="K39" s="89">
        <f>F39*80000</f>
        <v>240000</v>
      </c>
      <c r="L39" s="89">
        <f>100000*F39</f>
        <v>300000</v>
      </c>
      <c r="M39" s="89"/>
      <c r="N39" s="111">
        <f>SUM(G39:M39)</f>
        <v>9151390</v>
      </c>
      <c r="O39" s="136">
        <f>N39+N40</f>
        <v>35323170</v>
      </c>
      <c r="P39" s="193">
        <f t="shared" si="8"/>
        <v>3217390</v>
      </c>
      <c r="Q39" s="188" t="s">
        <v>130</v>
      </c>
      <c r="R39" s="188" t="s">
        <v>123</v>
      </c>
      <c r="S39" s="194" t="str">
        <f t="shared" si="9"/>
        <v>양은하</v>
      </c>
      <c r="T39" s="90">
        <v>1</v>
      </c>
      <c r="U39" s="12">
        <f t="shared" si="10"/>
        <v>2943597.5</v>
      </c>
      <c r="V39" s="12">
        <f t="shared" si="18"/>
        <v>86830</v>
      </c>
      <c r="W39" s="12">
        <f t="shared" si="19"/>
        <v>5680</v>
      </c>
      <c r="X39" s="12">
        <f t="shared" si="20"/>
        <v>132460</v>
      </c>
      <c r="Y39" s="12">
        <f>ROUNDDOWN((U39*4.5%/10),-1)</f>
        <v>13240</v>
      </c>
      <c r="Z39" s="12">
        <v>40000</v>
      </c>
      <c r="AA39" s="12">
        <f>ROUNDDOWN((U39*0.01),-1)</f>
        <v>29430</v>
      </c>
      <c r="AB39" s="12">
        <f>SUM(V39:AA39)</f>
        <v>307640</v>
      </c>
      <c r="AC39" s="36">
        <f>U39-AB39</f>
        <v>2635957.5</v>
      </c>
      <c r="AD39" s="80">
        <f t="shared" si="11"/>
        <v>3691680</v>
      </c>
      <c r="AE39">
        <v>12</v>
      </c>
    </row>
    <row r="40" spans="1:31" ht="34.5" customHeight="1">
      <c r="A40" s="190"/>
      <c r="B40" s="191"/>
      <c r="C40" s="189"/>
      <c r="D40" s="90">
        <v>6</v>
      </c>
      <c r="E40" s="91">
        <v>2070000</v>
      </c>
      <c r="F40" s="89">
        <v>9</v>
      </c>
      <c r="G40" s="92">
        <f>E40*F40</f>
        <v>18630000</v>
      </c>
      <c r="H40" s="89">
        <f t="shared" si="21"/>
        <v>1242000</v>
      </c>
      <c r="I40" s="89"/>
      <c r="J40" s="89">
        <f t="shared" si="22"/>
        <v>4679780</v>
      </c>
      <c r="K40" s="89">
        <f>F40*80000</f>
        <v>720000</v>
      </c>
      <c r="L40" s="89">
        <f>100000*F40</f>
        <v>900000</v>
      </c>
      <c r="M40" s="89"/>
      <c r="N40" s="111">
        <f>SUM(G40:M40)</f>
        <v>26171780</v>
      </c>
      <c r="O40" s="137"/>
      <c r="P40" s="193">
        <f t="shared" si="8"/>
        <v>7541780</v>
      </c>
      <c r="Q40" s="189"/>
      <c r="R40" s="189"/>
      <c r="S40" s="194">
        <f t="shared" si="9"/>
        <v>0</v>
      </c>
      <c r="T40" s="90">
        <v>2</v>
      </c>
      <c r="U40" s="12">
        <f t="shared" si="10"/>
        <v>0</v>
      </c>
      <c r="V40" s="12">
        <f t="shared" si="18"/>
        <v>0</v>
      </c>
      <c r="W40" s="12">
        <f t="shared" si="19"/>
        <v>0</v>
      </c>
      <c r="X40" s="12">
        <f t="shared" si="20"/>
        <v>0</v>
      </c>
      <c r="Y40" s="12"/>
      <c r="Z40" s="12"/>
      <c r="AA40" s="12"/>
      <c r="AB40" s="12"/>
      <c r="AC40" s="36"/>
      <c r="AD40" s="80">
        <f t="shared" si="11"/>
        <v>0</v>
      </c>
      <c r="AE40">
        <v>12</v>
      </c>
    </row>
    <row r="41" spans="1:31" ht="34.5" customHeight="1">
      <c r="A41" s="117">
        <v>21</v>
      </c>
      <c r="B41" s="134" t="s">
        <v>131</v>
      </c>
      <c r="C41" s="277" t="s">
        <v>132</v>
      </c>
      <c r="D41" s="119">
        <v>2</v>
      </c>
      <c r="E41" s="120">
        <v>1602000</v>
      </c>
      <c r="F41" s="121">
        <v>11</v>
      </c>
      <c r="G41" s="122">
        <f t="shared" si="7"/>
        <v>17622000</v>
      </c>
      <c r="H41" s="121">
        <f>E41</f>
        <v>1602000</v>
      </c>
      <c r="I41" s="121"/>
      <c r="J41" s="89">
        <f t="shared" si="22"/>
        <v>4426570</v>
      </c>
      <c r="K41" s="121">
        <f>F41*20000</f>
        <v>220000</v>
      </c>
      <c r="L41" s="121">
        <f t="shared" si="1"/>
        <v>1100000</v>
      </c>
      <c r="M41" s="121"/>
      <c r="N41" s="123">
        <f t="shared" si="3"/>
        <v>24970570</v>
      </c>
      <c r="O41" s="136">
        <f>N41+N42</f>
        <v>27157540</v>
      </c>
      <c r="P41" s="193">
        <f t="shared" si="8"/>
        <v>7348570</v>
      </c>
      <c r="Q41" s="118" t="s">
        <v>132</v>
      </c>
      <c r="R41" s="118" t="s">
        <v>131</v>
      </c>
      <c r="S41" s="194" t="str">
        <f t="shared" si="9"/>
        <v>황효섭</v>
      </c>
      <c r="T41" s="119">
        <v>1</v>
      </c>
      <c r="U41" s="12">
        <f t="shared" si="10"/>
        <v>2263128.3333333335</v>
      </c>
      <c r="V41" s="12">
        <f t="shared" si="18"/>
        <v>66760</v>
      </c>
      <c r="W41" s="12">
        <f t="shared" si="19"/>
        <v>4370</v>
      </c>
      <c r="X41" s="12">
        <f t="shared" si="20"/>
        <v>101840</v>
      </c>
      <c r="Y41" s="12">
        <f>ROUNDDOWN((U41*4.5%/10),-1)</f>
        <v>10180</v>
      </c>
      <c r="Z41" s="12">
        <v>40000</v>
      </c>
      <c r="AA41" s="12">
        <f>ROUNDDOWN((U41*0.01),-1)</f>
        <v>22630</v>
      </c>
      <c r="AB41" s="12">
        <f>SUM(V41:AA41)</f>
        <v>245780</v>
      </c>
      <c r="AC41" s="36">
        <f>U41-AB41</f>
        <v>2017348.3333333335</v>
      </c>
      <c r="AD41" s="80">
        <f t="shared" si="11"/>
        <v>2949360</v>
      </c>
      <c r="AE41">
        <v>12</v>
      </c>
    </row>
    <row r="42" spans="1:31" ht="34.5" customHeight="1">
      <c r="A42" s="231"/>
      <c r="B42" s="232"/>
      <c r="C42" s="278"/>
      <c r="D42" s="119">
        <v>3</v>
      </c>
      <c r="E42" s="120">
        <v>1652000</v>
      </c>
      <c r="F42" s="121">
        <v>1</v>
      </c>
      <c r="G42" s="122">
        <f>E42*F42</f>
        <v>1652000</v>
      </c>
      <c r="H42" s="121"/>
      <c r="I42" s="121"/>
      <c r="J42" s="89">
        <f t="shared" si="22"/>
        <v>414970</v>
      </c>
      <c r="K42" s="121">
        <f>F42*20000</f>
        <v>20000</v>
      </c>
      <c r="L42" s="121">
        <f>100000*F42</f>
        <v>100000</v>
      </c>
      <c r="M42" s="121"/>
      <c r="N42" s="123">
        <f>SUM(G42:M42)</f>
        <v>2186970</v>
      </c>
      <c r="O42" s="136"/>
      <c r="P42" s="193">
        <f>SUM(H42:M42)</f>
        <v>534970</v>
      </c>
      <c r="Q42" s="118" t="s">
        <v>132</v>
      </c>
      <c r="R42" s="118" t="s">
        <v>131</v>
      </c>
      <c r="S42" s="194" t="str">
        <f>Q42</f>
        <v>황효섭</v>
      </c>
      <c r="T42" s="119">
        <v>1</v>
      </c>
      <c r="U42" s="12">
        <f>O42/AE42</f>
        <v>0</v>
      </c>
      <c r="V42" s="12">
        <f t="shared" si="18"/>
        <v>0</v>
      </c>
      <c r="W42" s="12">
        <f t="shared" si="19"/>
        <v>0</v>
      </c>
      <c r="X42" s="12">
        <f t="shared" si="20"/>
        <v>0</v>
      </c>
      <c r="Y42" s="12">
        <f>ROUNDDOWN((U42*4.5%/10),-1)</f>
        <v>0</v>
      </c>
      <c r="Z42" s="12">
        <v>40000</v>
      </c>
      <c r="AA42" s="12">
        <f>ROUNDDOWN((U42*0.01),-1)</f>
        <v>0</v>
      </c>
      <c r="AB42" s="12">
        <f>SUM(V42:AA42)</f>
        <v>40000</v>
      </c>
      <c r="AC42" s="36">
        <f>U42-AB42</f>
        <v>-40000</v>
      </c>
      <c r="AD42" s="80">
        <f>AB42*AE42</f>
        <v>480000</v>
      </c>
      <c r="AE42">
        <v>12</v>
      </c>
    </row>
    <row r="43" spans="1:30" ht="34.5" customHeight="1" thickBot="1">
      <c r="A43" s="315" t="s">
        <v>133</v>
      </c>
      <c r="B43" s="316"/>
      <c r="C43" s="28"/>
      <c r="D43" s="29"/>
      <c r="E43" s="30">
        <f>SUM(E3:E41)</f>
        <v>74084000</v>
      </c>
      <c r="F43" s="30"/>
      <c r="G43" s="31">
        <f aca="true" t="shared" si="23" ref="G43:P43">SUM(G3:G41)</f>
        <v>471546000</v>
      </c>
      <c r="H43" s="31">
        <f t="shared" si="23"/>
        <v>44760000</v>
      </c>
      <c r="I43" s="31">
        <f t="shared" si="23"/>
        <v>3600000</v>
      </c>
      <c r="J43" s="31">
        <f t="shared" si="23"/>
        <v>156583650</v>
      </c>
      <c r="K43" s="31">
        <f t="shared" si="23"/>
        <v>7460000</v>
      </c>
      <c r="L43" s="31">
        <f t="shared" si="23"/>
        <v>24900000</v>
      </c>
      <c r="M43" s="31">
        <f t="shared" si="23"/>
        <v>7600000</v>
      </c>
      <c r="N43" s="47">
        <f t="shared" si="23"/>
        <v>716449650</v>
      </c>
      <c r="O43" s="138">
        <f t="shared" si="23"/>
        <v>718636620</v>
      </c>
      <c r="P43" s="138">
        <f t="shared" si="23"/>
        <v>244903650</v>
      </c>
      <c r="Q43" s="315" t="s">
        <v>133</v>
      </c>
      <c r="R43" s="316"/>
      <c r="S43" s="28"/>
      <c r="T43" s="28"/>
      <c r="U43" s="31">
        <f aca="true" t="shared" si="24" ref="U43:AC43">SUM(U3:U41)</f>
        <v>59886385.00000001</v>
      </c>
      <c r="V43" s="31">
        <f t="shared" si="24"/>
        <v>1766540</v>
      </c>
      <c r="W43" s="31">
        <f t="shared" si="24"/>
        <v>115590</v>
      </c>
      <c r="X43" s="31">
        <f t="shared" si="24"/>
        <v>2694810</v>
      </c>
      <c r="Y43" s="31">
        <f t="shared" si="24"/>
        <v>269360</v>
      </c>
      <c r="Z43" s="31">
        <f t="shared" si="24"/>
        <v>880000</v>
      </c>
      <c r="AA43" s="31">
        <f t="shared" si="24"/>
        <v>598770</v>
      </c>
      <c r="AB43" s="31">
        <f t="shared" si="24"/>
        <v>6325070</v>
      </c>
      <c r="AC43" s="35">
        <f t="shared" si="24"/>
        <v>51125874.16666667</v>
      </c>
      <c r="AD43" s="80">
        <f>SUM(AD3:AD41)</f>
        <v>75900840</v>
      </c>
    </row>
    <row r="44" spans="1:29" ht="22.5" customHeight="1" thickBot="1">
      <c r="A44" s="317" t="s">
        <v>134</v>
      </c>
      <c r="B44" s="318"/>
      <c r="C44" s="318"/>
      <c r="D44" s="318"/>
      <c r="E44" s="318"/>
      <c r="F44" s="318"/>
      <c r="G44" s="319"/>
      <c r="H44" s="163">
        <f>N43</f>
        <v>716449650</v>
      </c>
      <c r="I44" s="93"/>
      <c r="J44" s="32"/>
      <c r="K44" s="32"/>
      <c r="L44" s="32"/>
      <c r="M44" s="32"/>
      <c r="N44" s="32"/>
      <c r="O44" s="32"/>
      <c r="P44" s="3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0.25" customHeight="1">
      <c r="A45" s="299" t="s">
        <v>135</v>
      </c>
      <c r="B45" s="300"/>
      <c r="C45" s="298">
        <f>N43</f>
        <v>716449650</v>
      </c>
      <c r="D45" s="298"/>
      <c r="E45" s="16">
        <v>0.08333333333333333</v>
      </c>
      <c r="F45" s="16"/>
      <c r="G45" s="175"/>
      <c r="H45" s="17">
        <f aca="true" t="shared" si="25" ref="H45:H50">ROUNDDOWN((C45*E45),-1)</f>
        <v>59704130</v>
      </c>
      <c r="I45" s="94">
        <f>E3+E5+E7+E9+E12+E13+E15+E17+E19+E20+E22+E31+E33+E35+E37+E40+E41</f>
        <v>32226000</v>
      </c>
      <c r="J45" s="131">
        <f>E3+E5+E7+E9+E12+E13+E19+E33+E37+E41+E15+E17+E31+E29+E30+E20+E22+E24+E26+E35+E39</f>
        <v>39176000</v>
      </c>
      <c r="K45" s="324">
        <f>J45*0.5</f>
        <v>19588000</v>
      </c>
      <c r="L45" s="324"/>
      <c r="M45" s="101">
        <f>K45*0.5</f>
        <v>9794000</v>
      </c>
      <c r="N45" s="1"/>
      <c r="O45" s="1"/>
      <c r="P45" s="1"/>
      <c r="Q45" s="5"/>
      <c r="R45" s="1"/>
      <c r="S45" s="1"/>
      <c r="T45" s="1"/>
      <c r="U45" s="3"/>
      <c r="V45" s="3"/>
      <c r="W45" s="3"/>
      <c r="X45" s="6"/>
      <c r="Y45" s="6"/>
      <c r="Z45" s="6"/>
      <c r="AA45" s="6"/>
      <c r="AB45" s="6"/>
      <c r="AC45" s="6"/>
    </row>
    <row r="46" spans="1:29" ht="20.25" customHeight="1">
      <c r="A46" s="296" t="s">
        <v>136</v>
      </c>
      <c r="B46" s="297"/>
      <c r="C46" s="301">
        <f>N43</f>
        <v>716449650</v>
      </c>
      <c r="D46" s="301"/>
      <c r="E46" s="10">
        <v>0.0295</v>
      </c>
      <c r="F46" s="10"/>
      <c r="G46" s="11"/>
      <c r="H46" s="18">
        <f t="shared" si="25"/>
        <v>21135260</v>
      </c>
      <c r="I46" s="94" t="e">
        <f>E4+E6+E8+E10+E12+E14+E16+E18+E20+E22+E25+E32+E34+E36+E38+#REF!+E41+E26+E29+E30+E19</f>
        <v>#REF!</v>
      </c>
      <c r="J46" s="131">
        <f>E4+E6+E8+E10+E12+E14+E19+E21+E23+E32+E34+E36+E41+E16+E18+E40+E25+E27+E29+E30+E38</f>
        <v>40303000</v>
      </c>
      <c r="K46" s="324">
        <f>J46*0.5</f>
        <v>20151500</v>
      </c>
      <c r="L46" s="325"/>
      <c r="M46" s="101">
        <f>K46*0.5</f>
        <v>10075750</v>
      </c>
      <c r="N46" s="1"/>
      <c r="O46" s="1"/>
      <c r="P46" s="1"/>
      <c r="Q46" s="4"/>
      <c r="R46" s="2"/>
      <c r="S46" s="2"/>
      <c r="T46" s="2"/>
      <c r="U46" s="3"/>
      <c r="V46" s="3"/>
      <c r="W46" s="3"/>
      <c r="X46" s="6"/>
      <c r="Y46" s="6"/>
      <c r="Z46" s="6"/>
      <c r="AA46" s="6"/>
      <c r="AB46" s="6"/>
      <c r="AC46" s="6"/>
    </row>
    <row r="47" spans="1:29" ht="20.25" customHeight="1">
      <c r="A47" s="296" t="s">
        <v>137</v>
      </c>
      <c r="B47" s="297"/>
      <c r="C47" s="301">
        <f>H46</f>
        <v>21135260</v>
      </c>
      <c r="D47" s="301"/>
      <c r="E47" s="10">
        <v>0.0655</v>
      </c>
      <c r="F47" s="10"/>
      <c r="G47" s="11"/>
      <c r="H47" s="18">
        <f t="shared" si="25"/>
        <v>1384350</v>
      </c>
      <c r="I47" s="95"/>
      <c r="J47" s="131">
        <f>SUM(J45:J46)</f>
        <v>79479000</v>
      </c>
      <c r="K47" s="132">
        <f>SUM(K45:K46)</f>
        <v>39739500</v>
      </c>
      <c r="L47" s="133">
        <f>SUM(K47)</f>
        <v>39739500</v>
      </c>
      <c r="M47" s="103">
        <f>SUM(M45:M46)</f>
        <v>19869750</v>
      </c>
      <c r="N47" s="1"/>
      <c r="O47" s="1"/>
      <c r="P47" s="1"/>
      <c r="Q47" s="4"/>
      <c r="R47" s="2"/>
      <c r="S47" s="2"/>
      <c r="T47" s="2"/>
      <c r="U47" s="3"/>
      <c r="V47" s="3"/>
      <c r="W47" s="3"/>
      <c r="X47" s="6"/>
      <c r="Y47" s="6"/>
      <c r="Z47" s="6"/>
      <c r="AA47" s="6"/>
      <c r="AB47" s="6"/>
      <c r="AC47" s="6"/>
    </row>
    <row r="48" spans="1:29" ht="20.25" customHeight="1">
      <c r="A48" s="296" t="s">
        <v>138</v>
      </c>
      <c r="B48" s="297"/>
      <c r="C48" s="301">
        <f>C45</f>
        <v>716449650</v>
      </c>
      <c r="D48" s="301"/>
      <c r="E48" s="10">
        <v>0.045</v>
      </c>
      <c r="F48" s="13"/>
      <c r="G48" s="11"/>
      <c r="H48" s="18">
        <f t="shared" si="25"/>
        <v>32240230</v>
      </c>
      <c r="I48" s="95"/>
      <c r="J48" s="131">
        <f>H44+H51</f>
        <v>842233510</v>
      </c>
      <c r="K48" s="102"/>
      <c r="L48" s="133">
        <f>L47-H43</f>
        <v>-5020500</v>
      </c>
      <c r="M48" s="102"/>
      <c r="N48" s="2"/>
      <c r="O48" s="2"/>
      <c r="P48" s="2"/>
      <c r="Q48" s="4"/>
      <c r="R48" s="2"/>
      <c r="S48" s="2"/>
      <c r="T48" s="2"/>
      <c r="U48" s="3"/>
      <c r="V48" s="3"/>
      <c r="W48" s="3"/>
      <c r="X48" s="6"/>
      <c r="Y48" s="6"/>
      <c r="Z48" s="6"/>
      <c r="AA48" s="6"/>
      <c r="AB48" s="6"/>
      <c r="AC48" s="6"/>
    </row>
    <row r="49" spans="1:29" ht="20.25" customHeight="1">
      <c r="A49" s="296" t="s">
        <v>139</v>
      </c>
      <c r="B49" s="297"/>
      <c r="C49" s="301">
        <f>C45</f>
        <v>716449650</v>
      </c>
      <c r="D49" s="301"/>
      <c r="E49" s="10">
        <v>0.0078</v>
      </c>
      <c r="F49" s="13"/>
      <c r="G49" s="174"/>
      <c r="H49" s="18">
        <f t="shared" si="25"/>
        <v>5588300</v>
      </c>
      <c r="I49" s="95"/>
      <c r="J49" s="109"/>
      <c r="K49" s="102"/>
      <c r="L49" s="102"/>
      <c r="M49" s="102"/>
      <c r="N49" s="2"/>
      <c r="O49" s="2"/>
      <c r="P49" s="2"/>
      <c r="Q49" s="4"/>
      <c r="R49" s="2"/>
      <c r="S49" s="2"/>
      <c r="T49" s="2"/>
      <c r="U49" s="3"/>
      <c r="V49" s="3"/>
      <c r="W49" s="3"/>
      <c r="X49" s="6"/>
      <c r="Y49" s="6"/>
      <c r="Z49" s="6"/>
      <c r="AA49" s="6"/>
      <c r="AB49" s="6"/>
      <c r="AC49" s="6"/>
    </row>
    <row r="50" spans="1:29" ht="20.25" customHeight="1">
      <c r="A50" s="296" t="s">
        <v>140</v>
      </c>
      <c r="B50" s="297"/>
      <c r="C50" s="301">
        <f>C45</f>
        <v>716449650</v>
      </c>
      <c r="D50" s="301"/>
      <c r="E50" s="10">
        <v>0.008</v>
      </c>
      <c r="F50" s="13"/>
      <c r="G50" s="174"/>
      <c r="H50" s="18">
        <f t="shared" si="25"/>
        <v>5731590</v>
      </c>
      <c r="I50" s="95"/>
      <c r="J50" s="109"/>
      <c r="K50" s="102"/>
      <c r="L50" s="102"/>
      <c r="M50" s="102"/>
      <c r="N50" s="2"/>
      <c r="O50" s="2"/>
      <c r="P50" s="2"/>
      <c r="Q50" s="4"/>
      <c r="R50" s="2"/>
      <c r="S50" s="2"/>
      <c r="T50" s="2"/>
      <c r="U50" s="3"/>
      <c r="V50" s="3"/>
      <c r="W50" s="3"/>
      <c r="X50" s="6"/>
      <c r="Y50" s="6"/>
      <c r="Z50" s="6"/>
      <c r="AA50" s="6"/>
      <c r="AB50" s="6"/>
      <c r="AC50" s="6"/>
    </row>
    <row r="51" spans="1:29" ht="56.25" customHeight="1" thickBot="1">
      <c r="A51" s="320" t="s">
        <v>141</v>
      </c>
      <c r="B51" s="321"/>
      <c r="C51" s="322"/>
      <c r="D51" s="323"/>
      <c r="E51" s="24"/>
      <c r="F51" s="24"/>
      <c r="G51" s="25"/>
      <c r="H51" s="26">
        <f>SUM(H45:H50)</f>
        <v>125783860</v>
      </c>
      <c r="I51" s="93"/>
      <c r="J51" s="105">
        <f>H44+H51</f>
        <v>842233510</v>
      </c>
      <c r="K51" s="104"/>
      <c r="L51" s="105"/>
      <c r="M51" s="105"/>
      <c r="N51" s="32"/>
      <c r="O51" s="32"/>
      <c r="P51" s="32"/>
      <c r="Q51" s="33"/>
      <c r="R51" s="33"/>
      <c r="S51" s="33"/>
      <c r="T51" s="33"/>
      <c r="U51" s="33"/>
      <c r="V51" s="33"/>
      <c r="W51" s="6"/>
      <c r="X51" s="6"/>
      <c r="Y51" s="6"/>
      <c r="Z51" s="6"/>
      <c r="AA51" s="6"/>
      <c r="AB51" s="6"/>
      <c r="AC51" s="6"/>
    </row>
    <row r="52" spans="1:29" ht="20.25" customHeight="1">
      <c r="A52" s="290" t="s">
        <v>142</v>
      </c>
      <c r="B52" s="291"/>
      <c r="C52" s="40" t="s">
        <v>143</v>
      </c>
      <c r="D52" s="40" t="s">
        <v>144</v>
      </c>
      <c r="E52" s="40" t="s">
        <v>145</v>
      </c>
      <c r="F52" s="40"/>
      <c r="G52" s="40" t="s">
        <v>146</v>
      </c>
      <c r="H52" s="124" t="s">
        <v>133</v>
      </c>
      <c r="I52" s="168"/>
      <c r="J52" s="106"/>
      <c r="K52" s="106"/>
      <c r="L52" s="106"/>
      <c r="M52" s="106"/>
      <c r="N52" s="33"/>
      <c r="O52" s="33"/>
      <c r="P52" s="33"/>
      <c r="Q52" s="33"/>
      <c r="R52" s="33"/>
      <c r="S52" s="33"/>
      <c r="T52" s="33"/>
      <c r="U52" s="33"/>
      <c r="V52" s="33"/>
      <c r="W52" s="6"/>
      <c r="X52" s="6"/>
      <c r="Y52" s="6"/>
      <c r="Z52" s="6"/>
      <c r="AA52" s="6"/>
      <c r="AB52" s="6"/>
      <c r="AC52" s="6"/>
    </row>
    <row r="53" spans="1:29" ht="20.25" customHeight="1">
      <c r="A53" s="302" t="s">
        <v>147</v>
      </c>
      <c r="B53" s="303"/>
      <c r="C53" s="308" t="s">
        <v>148</v>
      </c>
      <c r="D53" s="311">
        <v>40779000</v>
      </c>
      <c r="E53" s="312"/>
      <c r="F53" s="170"/>
      <c r="G53" s="170">
        <v>2</v>
      </c>
      <c r="H53" s="79">
        <f>D53/G53</f>
        <v>20389500</v>
      </c>
      <c r="I53" s="96"/>
      <c r="J53" s="106"/>
      <c r="K53" s="106"/>
      <c r="L53" s="106"/>
      <c r="M53" s="106"/>
      <c r="N53" s="33"/>
      <c r="O53" s="33"/>
      <c r="P53" s="33"/>
      <c r="Q53" s="33"/>
      <c r="R53" s="33"/>
      <c r="S53" s="33"/>
      <c r="T53" s="33"/>
      <c r="U53" s="33"/>
      <c r="V53" s="33"/>
      <c r="W53" s="6"/>
      <c r="X53" s="6"/>
      <c r="Y53" s="6"/>
      <c r="Z53" s="6"/>
      <c r="AA53" s="6"/>
      <c r="AB53" s="6"/>
      <c r="AC53" s="6"/>
    </row>
    <row r="54" spans="1:29" ht="20.25" customHeight="1">
      <c r="A54" s="304"/>
      <c r="B54" s="305"/>
      <c r="C54" s="309"/>
      <c r="D54" s="8">
        <v>50920</v>
      </c>
      <c r="E54" s="8">
        <v>30</v>
      </c>
      <c r="F54" s="8"/>
      <c r="G54" s="8">
        <v>6</v>
      </c>
      <c r="H54" s="9">
        <f>D54*E54*G54</f>
        <v>9165600</v>
      </c>
      <c r="I54" s="97"/>
      <c r="J54" s="110"/>
      <c r="K54" s="106"/>
      <c r="L54" s="106"/>
      <c r="M54" s="106"/>
      <c r="N54" s="33"/>
      <c r="O54" s="33"/>
      <c r="P54" s="33"/>
      <c r="Q54" s="33"/>
      <c r="R54" s="33"/>
      <c r="S54" s="33"/>
      <c r="T54" s="33"/>
      <c r="U54" s="33"/>
      <c r="V54" s="33"/>
      <c r="W54" s="6"/>
      <c r="X54" s="6"/>
      <c r="Y54" s="6"/>
      <c r="Z54" s="6"/>
      <c r="AA54" s="6"/>
      <c r="AB54" s="6"/>
      <c r="AC54" s="6"/>
    </row>
    <row r="55" spans="1:29" ht="20.25" customHeight="1">
      <c r="A55" s="304"/>
      <c r="B55" s="305"/>
      <c r="C55" s="309"/>
      <c r="D55" s="8">
        <v>164170</v>
      </c>
      <c r="E55" s="8">
        <v>27</v>
      </c>
      <c r="F55" s="8"/>
      <c r="G55" s="8">
        <v>6</v>
      </c>
      <c r="H55" s="9">
        <f>D55*E55*G55</f>
        <v>26595540</v>
      </c>
      <c r="I55" s="97"/>
      <c r="J55" s="110"/>
      <c r="K55" s="106"/>
      <c r="L55" s="106"/>
      <c r="M55" s="106"/>
      <c r="N55" s="33"/>
      <c r="O55" s="33"/>
      <c r="P55" s="33"/>
      <c r="Q55" s="33"/>
      <c r="R55" s="33"/>
      <c r="S55" s="33"/>
      <c r="T55" s="33"/>
      <c r="U55" s="33"/>
      <c r="V55" s="33"/>
      <c r="W55" s="6"/>
      <c r="X55" s="6"/>
      <c r="Y55" s="6"/>
      <c r="Z55" s="6"/>
      <c r="AA55" s="6"/>
      <c r="AB55" s="6"/>
      <c r="AC55" s="6"/>
    </row>
    <row r="56" spans="1:29" ht="20.25" customHeight="1">
      <c r="A56" s="306"/>
      <c r="B56" s="307"/>
      <c r="C56" s="310"/>
      <c r="D56" s="8">
        <v>49416</v>
      </c>
      <c r="E56" s="8">
        <v>30</v>
      </c>
      <c r="F56" s="8"/>
      <c r="G56" s="8"/>
      <c r="H56" s="9">
        <f>D56*E56*G56</f>
        <v>0</v>
      </c>
      <c r="I56" s="97"/>
      <c r="J56" s="110"/>
      <c r="K56" s="106"/>
      <c r="L56" s="106"/>
      <c r="M56" s="106"/>
      <c r="N56" s="33"/>
      <c r="O56" s="33"/>
      <c r="P56" s="33"/>
      <c r="Q56" s="33"/>
      <c r="R56" s="33"/>
      <c r="S56" s="33"/>
      <c r="T56" s="33"/>
      <c r="U56" s="33"/>
      <c r="V56" s="33"/>
      <c r="W56" s="6"/>
      <c r="X56" s="6"/>
      <c r="Y56" s="6"/>
      <c r="Z56" s="6"/>
      <c r="AA56" s="6"/>
      <c r="AB56" s="6"/>
      <c r="AC56" s="6"/>
    </row>
    <row r="57" spans="1:29" ht="20.25" customHeight="1" thickBot="1">
      <c r="A57" s="280" t="s">
        <v>133</v>
      </c>
      <c r="B57" s="281"/>
      <c r="C57" s="125"/>
      <c r="D57" s="126"/>
      <c r="E57" s="126"/>
      <c r="F57" s="126"/>
      <c r="G57" s="126"/>
      <c r="H57" s="127">
        <f>SUM(H53:H56)</f>
        <v>56150640</v>
      </c>
      <c r="I57" s="98"/>
      <c r="J57" s="110"/>
      <c r="K57" s="107"/>
      <c r="L57" s="107"/>
      <c r="M57" s="10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0.25" customHeight="1">
      <c r="A58" s="284" t="s">
        <v>149</v>
      </c>
      <c r="B58" s="285"/>
      <c r="C58" s="128" t="s">
        <v>143</v>
      </c>
      <c r="D58" s="128" t="s">
        <v>144</v>
      </c>
      <c r="E58" s="128" t="s">
        <v>145</v>
      </c>
      <c r="F58" s="128"/>
      <c r="G58" s="128" t="s">
        <v>146</v>
      </c>
      <c r="H58" s="129" t="s">
        <v>133</v>
      </c>
      <c r="I58" s="168"/>
      <c r="J58" s="110"/>
      <c r="K58" s="107"/>
      <c r="L58" s="107"/>
      <c r="M58" s="10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0.25" customHeight="1">
      <c r="A59" s="286" t="s">
        <v>150</v>
      </c>
      <c r="B59" s="287"/>
      <c r="C59" s="287" t="s">
        <v>151</v>
      </c>
      <c r="D59" s="8">
        <v>127882</v>
      </c>
      <c r="E59" s="8">
        <v>19</v>
      </c>
      <c r="F59" s="8"/>
      <c r="G59" s="8">
        <v>5</v>
      </c>
      <c r="H59" s="9">
        <f aca="true" t="shared" si="26" ref="H59:H64">ROUNDDOWN((D59*E59*G59),-1)</f>
        <v>12148790</v>
      </c>
      <c r="I59" s="97"/>
      <c r="J59" s="110"/>
      <c r="K59" s="107"/>
      <c r="L59" s="107"/>
      <c r="M59" s="10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0.25" customHeight="1">
      <c r="A60" s="286"/>
      <c r="B60" s="287"/>
      <c r="C60" s="287"/>
      <c r="D60" s="8">
        <v>127882</v>
      </c>
      <c r="E60" s="8">
        <v>19</v>
      </c>
      <c r="F60" s="8"/>
      <c r="G60" s="8">
        <v>3</v>
      </c>
      <c r="H60" s="9">
        <f t="shared" si="26"/>
        <v>7289270</v>
      </c>
      <c r="I60" s="97"/>
      <c r="J60" s="110"/>
      <c r="K60" s="107"/>
      <c r="L60" s="107"/>
      <c r="M60" s="10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0.25" customHeight="1">
      <c r="A61" s="286"/>
      <c r="B61" s="287"/>
      <c r="C61" s="287"/>
      <c r="D61" s="8">
        <v>127882</v>
      </c>
      <c r="E61" s="8">
        <v>19</v>
      </c>
      <c r="F61" s="8"/>
      <c r="G61" s="8">
        <v>3</v>
      </c>
      <c r="H61" s="9">
        <f t="shared" si="26"/>
        <v>7289270</v>
      </c>
      <c r="I61" s="97"/>
      <c r="J61" s="110"/>
      <c r="K61" s="107"/>
      <c r="L61" s="107"/>
      <c r="M61" s="10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0.25" customHeight="1">
      <c r="A62" s="286" t="s">
        <v>152</v>
      </c>
      <c r="B62" s="287"/>
      <c r="C62" s="287" t="s">
        <v>151</v>
      </c>
      <c r="D62" s="8">
        <v>12996</v>
      </c>
      <c r="E62" s="8">
        <v>19</v>
      </c>
      <c r="F62" s="8"/>
      <c r="G62" s="8">
        <v>3</v>
      </c>
      <c r="H62" s="9">
        <f t="shared" si="26"/>
        <v>740770</v>
      </c>
      <c r="I62" s="97"/>
      <c r="J62" s="110"/>
      <c r="K62" s="107"/>
      <c r="L62" s="107"/>
      <c r="M62" s="10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0.25" customHeight="1">
      <c r="A63" s="286"/>
      <c r="B63" s="287"/>
      <c r="C63" s="287"/>
      <c r="D63" s="8">
        <v>12996</v>
      </c>
      <c r="E63" s="8">
        <v>19</v>
      </c>
      <c r="F63" s="8"/>
      <c r="G63" s="8">
        <v>3</v>
      </c>
      <c r="H63" s="9">
        <f t="shared" si="26"/>
        <v>740770</v>
      </c>
      <c r="I63" s="97"/>
      <c r="J63" s="110"/>
      <c r="K63" s="107"/>
      <c r="L63" s="107">
        <f>20*0.7</f>
        <v>14</v>
      </c>
      <c r="M63" s="10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0.25" customHeight="1">
      <c r="A64" s="286"/>
      <c r="B64" s="287"/>
      <c r="C64" s="287"/>
      <c r="D64" s="8">
        <v>12996</v>
      </c>
      <c r="E64" s="8">
        <v>19</v>
      </c>
      <c r="F64" s="8"/>
      <c r="G64" s="8">
        <v>3</v>
      </c>
      <c r="H64" s="9">
        <f t="shared" si="26"/>
        <v>740770</v>
      </c>
      <c r="I64" s="97"/>
      <c r="J64" s="110"/>
      <c r="K64" s="107"/>
      <c r="L64" s="107">
        <f>30*0.7</f>
        <v>21</v>
      </c>
      <c r="M64" s="10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0.25" customHeight="1">
      <c r="A65" s="288" t="s">
        <v>153</v>
      </c>
      <c r="B65" s="289"/>
      <c r="C65" s="41"/>
      <c r="D65" s="77"/>
      <c r="E65" s="77"/>
      <c r="F65" s="77"/>
      <c r="G65" s="77"/>
      <c r="H65" s="78">
        <v>500000</v>
      </c>
      <c r="I65" s="97"/>
      <c r="J65" s="110"/>
      <c r="K65" s="107"/>
      <c r="L65" s="107">
        <v>9</v>
      </c>
      <c r="M65" s="10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0.25" customHeight="1">
      <c r="A66" s="286" t="s">
        <v>154</v>
      </c>
      <c r="B66" s="287"/>
      <c r="C66" s="171" t="s">
        <v>148</v>
      </c>
      <c r="D66" s="8">
        <v>19189</v>
      </c>
      <c r="E66" s="8">
        <v>19</v>
      </c>
      <c r="F66" s="8"/>
      <c r="G66" s="8"/>
      <c r="H66" s="9">
        <f>D66*E66</f>
        <v>364591</v>
      </c>
      <c r="I66" s="97"/>
      <c r="J66" s="110"/>
      <c r="K66" s="107"/>
      <c r="L66" s="107"/>
      <c r="M66" s="10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0.25" customHeight="1">
      <c r="A67" s="286" t="s">
        <v>155</v>
      </c>
      <c r="B67" s="287"/>
      <c r="C67" s="171" t="s">
        <v>148</v>
      </c>
      <c r="D67" s="8">
        <v>25772</v>
      </c>
      <c r="E67" s="8">
        <v>19</v>
      </c>
      <c r="F67" s="8"/>
      <c r="G67" s="8"/>
      <c r="H67" s="9">
        <f>D67*E67</f>
        <v>489668</v>
      </c>
      <c r="I67" s="97"/>
      <c r="J67" s="110"/>
      <c r="K67" s="107"/>
      <c r="L67" s="107"/>
      <c r="M67" s="10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0.25" customHeight="1">
      <c r="A68" s="292" t="s">
        <v>156</v>
      </c>
      <c r="B68" s="293"/>
      <c r="C68" s="267" t="s">
        <v>157</v>
      </c>
      <c r="D68" s="8">
        <v>26590</v>
      </c>
      <c r="E68" s="8">
        <v>19</v>
      </c>
      <c r="F68" s="8"/>
      <c r="G68" s="8"/>
      <c r="H68" s="9">
        <f>D68*E68</f>
        <v>505210</v>
      </c>
      <c r="I68" s="97"/>
      <c r="J68" s="110"/>
      <c r="K68" s="107"/>
      <c r="L68" s="107"/>
      <c r="M68" s="10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0.25" customHeight="1">
      <c r="A69" s="294"/>
      <c r="B69" s="295"/>
      <c r="C69" s="268"/>
      <c r="D69" s="8">
        <v>26590</v>
      </c>
      <c r="E69" s="8">
        <v>19</v>
      </c>
      <c r="F69" s="8"/>
      <c r="G69" s="8"/>
      <c r="H69" s="9">
        <f>D69*E69</f>
        <v>505210</v>
      </c>
      <c r="I69" s="97"/>
      <c r="J69" s="110"/>
      <c r="K69" s="107"/>
      <c r="L69" s="107"/>
      <c r="M69" s="10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0.25" customHeight="1" thickBot="1">
      <c r="A70" s="280" t="s">
        <v>133</v>
      </c>
      <c r="B70" s="281"/>
      <c r="C70" s="125"/>
      <c r="D70" s="126"/>
      <c r="E70" s="126"/>
      <c r="F70" s="126"/>
      <c r="G70" s="126"/>
      <c r="H70" s="127">
        <f>SUM(H59:H69)</f>
        <v>31314319</v>
      </c>
      <c r="I70" s="98"/>
      <c r="J70" s="110"/>
      <c r="K70" s="107"/>
      <c r="L70" s="107"/>
      <c r="M70" s="10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0.25" customHeight="1">
      <c r="A71" s="290" t="s">
        <v>158</v>
      </c>
      <c r="B71" s="291"/>
      <c r="C71" s="40" t="s">
        <v>143</v>
      </c>
      <c r="D71" s="40" t="s">
        <v>144</v>
      </c>
      <c r="E71" s="40" t="s">
        <v>145</v>
      </c>
      <c r="F71" s="40"/>
      <c r="G71" s="40" t="s">
        <v>146</v>
      </c>
      <c r="H71" s="124" t="s">
        <v>133</v>
      </c>
      <c r="I71" s="168"/>
      <c r="J71" s="110"/>
      <c r="K71" s="107"/>
      <c r="L71" s="107"/>
      <c r="M71" s="10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0.25" customHeight="1">
      <c r="A72" s="279" t="s">
        <v>159</v>
      </c>
      <c r="B72" s="268"/>
      <c r="C72" s="170"/>
      <c r="D72" s="8">
        <v>50000</v>
      </c>
      <c r="E72" s="8">
        <v>30</v>
      </c>
      <c r="F72" s="43"/>
      <c r="G72" s="43"/>
      <c r="H72" s="9">
        <f>D72*E72</f>
        <v>1500000</v>
      </c>
      <c r="I72" s="97"/>
      <c r="J72" s="110"/>
      <c r="K72" s="107"/>
      <c r="L72" s="107"/>
      <c r="M72" s="10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0.25" customHeight="1">
      <c r="A73" s="279" t="s">
        <v>160</v>
      </c>
      <c r="B73" s="268"/>
      <c r="C73" s="170"/>
      <c r="D73" s="8">
        <v>50000</v>
      </c>
      <c r="E73" s="8">
        <v>30</v>
      </c>
      <c r="F73" s="43"/>
      <c r="G73" s="43"/>
      <c r="H73" s="9">
        <f>D73*E73</f>
        <v>1500000</v>
      </c>
      <c r="I73" s="97"/>
      <c r="J73" s="110"/>
      <c r="K73" s="107"/>
      <c r="L73" s="107"/>
      <c r="M73" s="10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0.25" customHeight="1">
      <c r="A74" s="279" t="s">
        <v>161</v>
      </c>
      <c r="B74" s="268"/>
      <c r="C74" s="170"/>
      <c r="D74" s="8">
        <v>15000</v>
      </c>
      <c r="E74" s="8">
        <v>30</v>
      </c>
      <c r="F74" s="43"/>
      <c r="G74" s="43"/>
      <c r="H74" s="9">
        <f>D74*E74</f>
        <v>450000</v>
      </c>
      <c r="I74" s="97"/>
      <c r="J74" s="110"/>
      <c r="K74" s="107"/>
      <c r="L74" s="107"/>
      <c r="M74" s="10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0.25" customHeight="1">
      <c r="A75" s="169"/>
      <c r="B75" s="170" t="s">
        <v>162</v>
      </c>
      <c r="C75" s="170"/>
      <c r="D75" s="8">
        <v>15000</v>
      </c>
      <c r="E75" s="8">
        <v>30</v>
      </c>
      <c r="F75" s="43"/>
      <c r="G75" s="43"/>
      <c r="H75" s="9">
        <f>D75*E75</f>
        <v>450000</v>
      </c>
      <c r="I75" s="97"/>
      <c r="J75" s="110"/>
      <c r="K75" s="107"/>
      <c r="L75" s="107"/>
      <c r="M75" s="10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3.5">
      <c r="A76" s="279" t="s">
        <v>163</v>
      </c>
      <c r="B76" s="268"/>
      <c r="C76" s="170"/>
      <c r="D76" s="8">
        <v>1500000</v>
      </c>
      <c r="E76" s="8">
        <v>1</v>
      </c>
      <c r="F76" s="43"/>
      <c r="G76" s="43"/>
      <c r="H76" s="9">
        <f>D76*E76</f>
        <v>1500000</v>
      </c>
      <c r="I76" s="97"/>
      <c r="J76" s="106"/>
      <c r="K76" s="107"/>
      <c r="L76" s="107"/>
      <c r="M76" s="10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4.25" thickBot="1">
      <c r="A77" s="280" t="s">
        <v>133</v>
      </c>
      <c r="B77" s="281"/>
      <c r="C77" s="172"/>
      <c r="D77" s="172"/>
      <c r="E77" s="172"/>
      <c r="F77" s="172"/>
      <c r="G77" s="172"/>
      <c r="H77" s="130">
        <f>SUM(H72:H76)</f>
        <v>5400000</v>
      </c>
      <c r="I77" s="99"/>
      <c r="J77" s="105">
        <f>H57+H77</f>
        <v>61550640</v>
      </c>
      <c r="K77" s="107"/>
      <c r="L77" s="107"/>
      <c r="M77" s="10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thickBot="1">
      <c r="A78" s="282" t="s">
        <v>164</v>
      </c>
      <c r="B78" s="283"/>
      <c r="C78" s="283"/>
      <c r="D78" s="283"/>
      <c r="E78" s="283"/>
      <c r="F78" s="283"/>
      <c r="G78" s="283"/>
      <c r="H78" s="27">
        <f>H51+H57+H77+H44+H70</f>
        <v>935098469</v>
      </c>
      <c r="I78" s="100"/>
      <c r="J78" s="106"/>
      <c r="K78" s="107"/>
      <c r="L78" s="107"/>
      <c r="M78" s="10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0:13" ht="13.5">
      <c r="J79" s="108"/>
      <c r="K79" s="108"/>
      <c r="L79" s="108"/>
      <c r="M79" s="108"/>
    </row>
  </sheetData>
  <mergeCells count="49">
    <mergeCell ref="A1:N1"/>
    <mergeCell ref="Q1:AC1"/>
    <mergeCell ref="C48:D48"/>
    <mergeCell ref="C59:C61"/>
    <mergeCell ref="A59:B61"/>
    <mergeCell ref="A43:B43"/>
    <mergeCell ref="A44:G44"/>
    <mergeCell ref="A57:B57"/>
    <mergeCell ref="A51:B51"/>
    <mergeCell ref="C51:D51"/>
    <mergeCell ref="C47:D47"/>
    <mergeCell ref="C46:D46"/>
    <mergeCell ref="Q43:R43"/>
    <mergeCell ref="K45:L45"/>
    <mergeCell ref="K46:L46"/>
    <mergeCell ref="A50:B50"/>
    <mergeCell ref="C50:D50"/>
    <mergeCell ref="A52:B52"/>
    <mergeCell ref="A53:B56"/>
    <mergeCell ref="C53:C56"/>
    <mergeCell ref="D53:E53"/>
    <mergeCell ref="A49:B49"/>
    <mergeCell ref="C45:D45"/>
    <mergeCell ref="A46:B46"/>
    <mergeCell ref="A47:B47"/>
    <mergeCell ref="A45:B45"/>
    <mergeCell ref="A48:B48"/>
    <mergeCell ref="C49:D49"/>
    <mergeCell ref="A76:B76"/>
    <mergeCell ref="A77:B77"/>
    <mergeCell ref="A78:G78"/>
    <mergeCell ref="A58:B58"/>
    <mergeCell ref="A62:B64"/>
    <mergeCell ref="C62:C64"/>
    <mergeCell ref="A65:B65"/>
    <mergeCell ref="A66:B66"/>
    <mergeCell ref="A73:B73"/>
    <mergeCell ref="A71:B71"/>
    <mergeCell ref="A68:B69"/>
    <mergeCell ref="C68:C69"/>
    <mergeCell ref="A72:B72"/>
    <mergeCell ref="A70:B70"/>
    <mergeCell ref="A67:B67"/>
    <mergeCell ref="A74:B74"/>
    <mergeCell ref="B11:B12"/>
    <mergeCell ref="C11:C12"/>
    <mergeCell ref="A11:A12"/>
    <mergeCell ref="A28:A29"/>
    <mergeCell ref="C41:C42"/>
  </mergeCells>
  <printOptions/>
  <pageMargins left="0.36" right="0.34" top="0.53" bottom="0.22" header="0.5" footer="0.17"/>
  <pageSetup horizontalDpi="600" verticalDpi="600" orientation="landscape" paperSize="9" scale="65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과장_김춘희</cp:lastModifiedBy>
  <cp:lastPrinted>2013-12-21T01:39:07Z</cp:lastPrinted>
  <dcterms:created xsi:type="dcterms:W3CDTF">2006-12-18T12:23:09Z</dcterms:created>
  <dcterms:modified xsi:type="dcterms:W3CDTF">2013-12-26T08:26:02Z</dcterms:modified>
  <cp:category/>
  <cp:version/>
  <cp:contentType/>
  <cp:contentStatus/>
</cp:coreProperties>
</file>