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11760" windowHeight="9120" firstSheet="1" activeTab="1"/>
  </bookViews>
  <sheets>
    <sheet name="표지" sheetId="2" state="hidden" r:id="rId1"/>
    <sheet name="총괄" sheetId="11" r:id="rId2"/>
    <sheet name="총인건비" sheetId="7" state="hidden" r:id="rId3"/>
    <sheet name="Sheet1" sheetId="13" state="hidden" r:id="rId4"/>
  </sheets>
  <definedNames>
    <definedName name="_xlnm.Print_Area" localSheetId="1">'총괄'!$A$1:$N$73</definedName>
    <definedName name="_xlnm.Print_Area" localSheetId="2">'총인건비'!$A$2:$O$78</definedName>
    <definedName name="_xlnm.Print_Area" localSheetId="0">'표지'!$A$1:$L$47</definedName>
    <definedName name="_xlnm.Print_Titles" localSheetId="1">'총괄'!$1:$5</definedName>
  </definedNames>
  <calcPr calcId="124519"/>
</workbook>
</file>

<file path=xl/sharedStrings.xml><?xml version="1.0" encoding="utf-8"?>
<sst xmlns="http://schemas.openxmlformats.org/spreadsheetml/2006/main" count="649" uniqueCount="333">
  <si>
    <t>관</t>
  </si>
  <si>
    <t>항</t>
  </si>
  <si>
    <t>목</t>
  </si>
  <si>
    <t>피복비</t>
  </si>
  <si>
    <t>06.부채상환금</t>
  </si>
  <si>
    <t>07.잡지출</t>
  </si>
  <si>
    <t>03.사업비</t>
  </si>
  <si>
    <t>총   계</t>
  </si>
  <si>
    <t>01.입소자부담금수입</t>
  </si>
  <si>
    <t>01.사무비</t>
  </si>
  <si>
    <t>입소자부담금수입</t>
  </si>
  <si>
    <t>인건비</t>
  </si>
  <si>
    <t>급여</t>
  </si>
  <si>
    <t>04.보조금수입</t>
  </si>
  <si>
    <t>보조금수입</t>
  </si>
  <si>
    <t>제수당</t>
  </si>
  <si>
    <t>퇴직금및퇴직적립금</t>
  </si>
  <si>
    <t>사회보험부담비용</t>
  </si>
  <si>
    <t>05.후원금수입</t>
  </si>
  <si>
    <t>기타후생경비</t>
  </si>
  <si>
    <t>후원금수입</t>
  </si>
  <si>
    <t>업무추진비</t>
  </si>
  <si>
    <t>지정후원금</t>
  </si>
  <si>
    <t>기관운영비</t>
  </si>
  <si>
    <t>비지정후원금</t>
  </si>
  <si>
    <t>회의비</t>
  </si>
  <si>
    <t>운영비</t>
  </si>
  <si>
    <t>여 비</t>
  </si>
  <si>
    <t>수용비및수수료</t>
  </si>
  <si>
    <t>08.전입금</t>
  </si>
  <si>
    <t>공공요금</t>
  </si>
  <si>
    <t>전입금</t>
  </si>
  <si>
    <t>제세공과금</t>
  </si>
  <si>
    <t>법인전입금</t>
  </si>
  <si>
    <t>차량비</t>
  </si>
  <si>
    <t>09.이월금</t>
  </si>
  <si>
    <t>이월금</t>
  </si>
  <si>
    <t>시설비</t>
  </si>
  <si>
    <t>전년도이월금</t>
  </si>
  <si>
    <t>자산취득비</t>
  </si>
  <si>
    <t>시설장비유지비</t>
  </si>
  <si>
    <t>불용품매각대</t>
  </si>
  <si>
    <t>사업비</t>
  </si>
  <si>
    <t>기타예금이자수입</t>
  </si>
  <si>
    <t>생계비</t>
  </si>
  <si>
    <t>기타잡수입</t>
  </si>
  <si>
    <t>수용기관경비</t>
  </si>
  <si>
    <t>의료비</t>
  </si>
  <si>
    <t>장의비</t>
  </si>
  <si>
    <t>직업재활비</t>
  </si>
  <si>
    <t>자활사업비</t>
  </si>
  <si>
    <t>특별급식비</t>
  </si>
  <si>
    <t>연료비</t>
  </si>
  <si>
    <t>교육비</t>
  </si>
  <si>
    <t>학용품비</t>
  </si>
  <si>
    <t>도서구입비</t>
  </si>
  <si>
    <t>교통비</t>
  </si>
  <si>
    <t>수학여행비</t>
  </si>
  <si>
    <t>기타교육비</t>
  </si>
  <si>
    <t>의료재활사업비</t>
  </si>
  <si>
    <t>사회심리재활사업비</t>
  </si>
  <si>
    <t>교육재활사업비</t>
  </si>
  <si>
    <t>직업재활사업비</t>
  </si>
  <si>
    <t>지역사회자원관리사업비</t>
  </si>
  <si>
    <t>부채상환금</t>
  </si>
  <si>
    <t>원금상환금</t>
  </si>
  <si>
    <t>이자지불금</t>
  </si>
  <si>
    <t>잡지출</t>
  </si>
  <si>
    <t>예비비</t>
  </si>
  <si>
    <t>신규</t>
  </si>
  <si>
    <t>증감</t>
  </si>
  <si>
    <t>05.보조금반환</t>
  </si>
  <si>
    <t>보조금반환</t>
  </si>
  <si>
    <t>보조금반환</t>
  </si>
  <si>
    <t>엘 림 소 망 의 집</t>
  </si>
  <si>
    <t>엘림소망의집</t>
  </si>
  <si>
    <t>증감</t>
  </si>
  <si>
    <t>(단위: 천원)</t>
  </si>
  <si>
    <t>금액</t>
  </si>
  <si>
    <t>비율(%)</t>
  </si>
  <si>
    <t>비율(%)</t>
  </si>
  <si>
    <t>기본급</t>
  </si>
  <si>
    <t>09.예비비</t>
  </si>
  <si>
    <t>08.과년도지출</t>
  </si>
  <si>
    <t>과년도지출</t>
  </si>
  <si>
    <t>(차기이월금)</t>
  </si>
  <si>
    <t>2010년 월평균  직원 급여</t>
  </si>
  <si>
    <t>번호</t>
  </si>
  <si>
    <t>직 책</t>
  </si>
  <si>
    <t>성 명</t>
  </si>
  <si>
    <t>호 봉</t>
  </si>
  <si>
    <t>기본급</t>
  </si>
  <si>
    <t>개월</t>
  </si>
  <si>
    <t>기본급총액</t>
  </si>
  <si>
    <t>명절휴가비</t>
  </si>
  <si>
    <t>직책보조수당</t>
  </si>
  <si>
    <t>연장근로수당</t>
  </si>
  <si>
    <t>가족수당</t>
  </si>
  <si>
    <t>장려수당</t>
  </si>
  <si>
    <t>자격수당</t>
  </si>
  <si>
    <t>총    계</t>
  </si>
  <si>
    <t>월평균보수액</t>
  </si>
  <si>
    <t>국민건강</t>
  </si>
  <si>
    <t>장기요양</t>
  </si>
  <si>
    <t>국민연금</t>
  </si>
  <si>
    <t>고용보험</t>
  </si>
  <si>
    <t>식대비</t>
  </si>
  <si>
    <t>소득세</t>
  </si>
  <si>
    <t>공제계</t>
  </si>
  <si>
    <t>실수령액</t>
  </si>
  <si>
    <t>원장</t>
  </si>
  <si>
    <t>박세혁</t>
  </si>
  <si>
    <t>사회재활교사</t>
  </si>
  <si>
    <t>김춘희</t>
  </si>
  <si>
    <t>전상현</t>
  </si>
  <si>
    <t>생활지도원</t>
  </si>
  <si>
    <t>이원영</t>
  </si>
  <si>
    <t>김계주</t>
  </si>
  <si>
    <t>김극진</t>
  </si>
  <si>
    <t>김세현</t>
  </si>
  <si>
    <t>이종영</t>
  </si>
  <si>
    <t>오재흠</t>
  </si>
  <si>
    <t>생활재활교사</t>
  </si>
  <si>
    <t>김민지</t>
  </si>
  <si>
    <t>손성호</t>
  </si>
  <si>
    <t>박민지</t>
  </si>
  <si>
    <t>정동민</t>
  </si>
  <si>
    <t>조리원</t>
  </si>
  <si>
    <t>김봉란</t>
  </si>
  <si>
    <t>서숙재</t>
  </si>
  <si>
    <t>위생원</t>
  </si>
  <si>
    <t>정안순</t>
  </si>
  <si>
    <t>물리치료사</t>
  </si>
  <si>
    <t>간호원</t>
  </si>
  <si>
    <t>양은하</t>
  </si>
  <si>
    <t>사무원</t>
  </si>
  <si>
    <t>황효섭</t>
  </si>
  <si>
    <t>계</t>
  </si>
  <si>
    <t>인    건    비</t>
  </si>
  <si>
    <t>퇴  직  금</t>
  </si>
  <si>
    <t>국민건강보험료</t>
  </si>
  <si>
    <t>장기요양보험료</t>
  </si>
  <si>
    <t>국민연금보험료</t>
  </si>
  <si>
    <t>산재보험료</t>
  </si>
  <si>
    <t>고용보험료</t>
  </si>
  <si>
    <t>총 인건비</t>
  </si>
  <si>
    <t xml:space="preserve"> 관리운영비</t>
  </si>
  <si>
    <t>구분</t>
  </si>
  <si>
    <t>기준</t>
  </si>
  <si>
    <t>인원</t>
  </si>
  <si>
    <t>개월</t>
  </si>
  <si>
    <t>ㅡ</t>
  </si>
  <si>
    <t>년</t>
  </si>
  <si>
    <t xml:space="preserve"> 생 계 비</t>
  </si>
  <si>
    <t>주식,부식,연료비</t>
  </si>
  <si>
    <t>월</t>
  </si>
  <si>
    <t>피복비</t>
  </si>
  <si>
    <t>장의비</t>
  </si>
  <si>
    <t>동내의</t>
  </si>
  <si>
    <t>월동대책비</t>
  </si>
  <si>
    <t>특별위로비</t>
  </si>
  <si>
    <t>연2회(추석)</t>
  </si>
  <si>
    <t>기타지원비</t>
  </si>
  <si>
    <t>캠프활동지원비</t>
  </si>
  <si>
    <t>의료비</t>
  </si>
  <si>
    <t>건강검진비</t>
  </si>
  <si>
    <t>특별부식비</t>
  </si>
  <si>
    <t>특별난방비</t>
  </si>
  <si>
    <t>정부보조 총운영비</t>
  </si>
  <si>
    <t>2013년 엘림소망의집 정부보조 소요액 파악 자료</t>
  </si>
  <si>
    <t>신규</t>
  </si>
  <si>
    <t>상담평가원</t>
  </si>
  <si>
    <t>박은정</t>
  </si>
  <si>
    <t>세      입</t>
  </si>
  <si>
    <t>세     출</t>
  </si>
  <si>
    <t>박세혁</t>
  </si>
  <si>
    <t>사무국장</t>
  </si>
  <si>
    <t>생활지도원</t>
  </si>
  <si>
    <t>작업치료사</t>
  </si>
  <si>
    <t>일용잡급</t>
  </si>
  <si>
    <t>02.재산조성비</t>
  </si>
  <si>
    <t>예산액</t>
  </si>
  <si>
    <t>김경찬</t>
  </si>
  <si>
    <t>전년도예산액</t>
  </si>
  <si>
    <t>시군구보조금</t>
  </si>
  <si>
    <t>기타보조금</t>
  </si>
  <si>
    <t>후원법인전입금</t>
  </si>
  <si>
    <t>10.잡수입</t>
  </si>
  <si>
    <t>잡수입</t>
  </si>
  <si>
    <t>2015년도 세입예산(안)</t>
  </si>
  <si>
    <t>2015년도 세출 예산(안)</t>
  </si>
  <si>
    <t>2015년 엘림소망의집 예산 인건비 산출내역-20명</t>
  </si>
  <si>
    <t>승급월</t>
  </si>
  <si>
    <t>호봉</t>
  </si>
  <si>
    <t>기본급소계              (ⓐ)</t>
  </si>
  <si>
    <t>제  수  당(ⓑ)</t>
  </si>
  <si>
    <t>총    계ⓐ</t>
  </si>
  <si>
    <t>2014년</t>
  </si>
  <si>
    <t>연금보수월액</t>
  </si>
  <si>
    <t>월            연금보험료</t>
  </si>
  <si>
    <t>건강보수월액</t>
  </si>
  <si>
    <t>사  대  보  험(ⓒ)</t>
  </si>
  <si>
    <t>퇴직적립금                   (ⓓ)</t>
  </si>
  <si>
    <t>지급총액                (ⓔ=ⓐ+ⓑ+ⓒ+ⓓ)</t>
  </si>
  <si>
    <t>7월부터반영국민연금</t>
  </si>
  <si>
    <t>연장근로계</t>
  </si>
  <si>
    <t>시급계</t>
  </si>
  <si>
    <t>총임금</t>
  </si>
  <si>
    <t>2013년결산급여</t>
  </si>
  <si>
    <t>소 계</t>
  </si>
  <si>
    <t>명절휴가비</t>
  </si>
  <si>
    <t>직책보조수당</t>
  </si>
  <si>
    <t>연장근로수당</t>
  </si>
  <si>
    <t>가족수당</t>
  </si>
  <si>
    <t>소계</t>
  </si>
  <si>
    <t>국민건강</t>
  </si>
  <si>
    <t>장기요양</t>
  </si>
  <si>
    <t>국민연금</t>
  </si>
  <si>
    <t>직원</t>
  </si>
  <si>
    <t>고용보험</t>
  </si>
  <si>
    <t>산재보험</t>
  </si>
  <si>
    <t>원장</t>
  </si>
  <si>
    <t>심진봉</t>
  </si>
  <si>
    <t>박세혁</t>
  </si>
  <si>
    <t>사무국장</t>
  </si>
  <si>
    <t>김춘희</t>
  </si>
  <si>
    <t>사회재활교사</t>
  </si>
  <si>
    <t>전상현</t>
  </si>
  <si>
    <t>생활지도원</t>
  </si>
  <si>
    <t>이원영</t>
  </si>
  <si>
    <t>김계주</t>
  </si>
  <si>
    <t>김극진</t>
  </si>
  <si>
    <t>김세현</t>
  </si>
  <si>
    <t>이종영</t>
  </si>
  <si>
    <t>박민지</t>
  </si>
  <si>
    <t>손성호</t>
  </si>
  <si>
    <t>김민지</t>
  </si>
  <si>
    <t>정동민</t>
  </si>
  <si>
    <t>박영일</t>
  </si>
  <si>
    <t>조리원</t>
  </si>
  <si>
    <t>박문숙</t>
  </si>
  <si>
    <t>김봉란</t>
  </si>
  <si>
    <t>서숙재</t>
  </si>
  <si>
    <t>위생원</t>
  </si>
  <si>
    <t>정안순</t>
  </si>
  <si>
    <t>사무원</t>
  </si>
  <si>
    <t>황효섭</t>
  </si>
  <si>
    <t>간호사</t>
  </si>
  <si>
    <t>배은옥</t>
  </si>
  <si>
    <t>양은하</t>
  </si>
  <si>
    <t>작업치료사</t>
  </si>
  <si>
    <t>박은정</t>
  </si>
  <si>
    <t>계</t>
  </si>
  <si>
    <t>과장</t>
  </si>
  <si>
    <t>김아연</t>
  </si>
  <si>
    <t>간호조무사</t>
  </si>
  <si>
    <t>황선화</t>
  </si>
  <si>
    <t>물리치료사</t>
  </si>
  <si>
    <t>임선애</t>
  </si>
  <si>
    <t>번호</t>
  </si>
  <si>
    <t>직 책</t>
  </si>
  <si>
    <t>성 명</t>
  </si>
  <si>
    <t>호봉</t>
  </si>
  <si>
    <t>원장</t>
  </si>
  <si>
    <t>박세혁</t>
  </si>
  <si>
    <t>사무국장</t>
  </si>
  <si>
    <t>김춘희</t>
  </si>
  <si>
    <t>사회재활교사</t>
  </si>
  <si>
    <t>전상현</t>
  </si>
  <si>
    <t>생활지도원</t>
  </si>
  <si>
    <t>이원영</t>
  </si>
  <si>
    <t>김계주</t>
  </si>
  <si>
    <t>김극진</t>
  </si>
  <si>
    <t>김세현</t>
  </si>
  <si>
    <t>이종영</t>
  </si>
  <si>
    <t>오재흠</t>
  </si>
  <si>
    <t>남보경</t>
  </si>
  <si>
    <t>박용기</t>
  </si>
  <si>
    <t>김민지</t>
  </si>
  <si>
    <t>조리원</t>
  </si>
  <si>
    <t>김봉란</t>
  </si>
  <si>
    <t>서숙재</t>
  </si>
  <si>
    <t>대체인력</t>
  </si>
  <si>
    <t>김영희</t>
  </si>
  <si>
    <t>위생원</t>
  </si>
  <si>
    <t>정안순</t>
  </si>
  <si>
    <t>사무원</t>
  </si>
  <si>
    <t>황효섭</t>
  </si>
  <si>
    <t>간호조무사</t>
  </si>
  <si>
    <t>양은하</t>
  </si>
  <si>
    <t>물리치료사</t>
  </si>
  <si>
    <t>임선애</t>
  </si>
  <si>
    <t>계</t>
  </si>
  <si>
    <t>오재흠</t>
  </si>
  <si>
    <t>정동만</t>
  </si>
  <si>
    <t>1분기보험</t>
  </si>
  <si>
    <t>실계</t>
  </si>
  <si>
    <t>김경찬</t>
  </si>
  <si>
    <t>분기</t>
  </si>
  <si>
    <t>직 책</t>
  </si>
  <si>
    <t>구분</t>
  </si>
  <si>
    <t>성 명</t>
  </si>
  <si>
    <t>호봉</t>
  </si>
  <si>
    <t>기본급</t>
  </si>
  <si>
    <t>개월</t>
  </si>
  <si>
    <t>기본급소계              (ⓐ)</t>
  </si>
  <si>
    <t>제  수  당(ⓑ)</t>
  </si>
  <si>
    <t>총    계ⓐ</t>
  </si>
  <si>
    <t>연금보수월액</t>
  </si>
  <si>
    <t>연금보험료</t>
  </si>
  <si>
    <t>건강보수월액</t>
  </si>
  <si>
    <t>사  대  보  험(ⓒ)</t>
  </si>
  <si>
    <t>1분기</t>
  </si>
  <si>
    <t>신청</t>
  </si>
  <si>
    <t>소급분</t>
  </si>
  <si>
    <t>1분기 소급분</t>
  </si>
  <si>
    <t>2분기</t>
  </si>
  <si>
    <t>정동민</t>
  </si>
  <si>
    <t>박영일</t>
  </si>
  <si>
    <t>2분기소급분</t>
  </si>
  <si>
    <t>3분기</t>
  </si>
  <si>
    <t>3분기소급분</t>
  </si>
  <si>
    <t>4분기</t>
  </si>
  <si>
    <t>4분기 소급분</t>
  </si>
  <si>
    <t>2013년</t>
  </si>
  <si>
    <t>직원별 소급분</t>
  </si>
  <si>
    <t>분기별 합계</t>
  </si>
  <si>
    <t>2015년 사업계획(안)</t>
  </si>
  <si>
    <r>
      <t>2016년 세입</t>
    </r>
    <r>
      <rPr>
        <u val="single"/>
        <sz val="22"/>
        <rFont val="굴림"/>
        <family val="3"/>
      </rPr>
      <t>ㆍ</t>
    </r>
    <r>
      <rPr>
        <b/>
        <u val="single"/>
        <sz val="22"/>
        <rFont val="굴림"/>
        <family val="3"/>
      </rPr>
      <t>세출 예산 총괄(안)</t>
    </r>
  </si>
  <si>
    <t>잡지출</t>
  </si>
  <si>
    <t>기타운영비</t>
  </si>
  <si>
    <t>기타사업비</t>
  </si>
  <si>
    <t>-</t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</si>
</sst>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0_ "/>
    <numFmt numFmtId="177" formatCode="#\ ?/2"/>
    <numFmt numFmtId="178" formatCode="_-* #,##0.0_-;\-* #,##0.0_-;_-* &quot;-&quot;?_-;_-@_-"/>
    <numFmt numFmtId="179" formatCode="#\ ???/???"/>
    <numFmt numFmtId="180" formatCode="0.0%"/>
    <numFmt numFmtId="181" formatCode="_-* #,##0_-;\-* #,##0_-;_-* &quot;-&quot;??_-;_-@_-"/>
    <numFmt numFmtId="182" formatCode="0.000%"/>
  </numFmts>
  <fonts count="35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8"/>
      <name val="굴림"/>
      <family val="3"/>
    </font>
    <font>
      <sz val="24"/>
      <name val="굴림"/>
      <family val="3"/>
    </font>
    <font>
      <b/>
      <sz val="11"/>
      <name val="돋움"/>
      <family val="3"/>
    </font>
    <font>
      <sz val="24"/>
      <name val="HY그래픽"/>
      <family val="1"/>
    </font>
    <font>
      <b/>
      <sz val="26"/>
      <name val="굴림"/>
      <family val="3"/>
    </font>
    <font>
      <sz val="11"/>
      <name val="굴림"/>
      <family val="3"/>
    </font>
    <font>
      <sz val="12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u val="single"/>
      <sz val="24"/>
      <name val="굴림"/>
      <family val="3"/>
    </font>
    <font>
      <sz val="14"/>
      <name val="굴림"/>
      <family val="3"/>
    </font>
    <font>
      <sz val="18"/>
      <name val="굴림"/>
      <family val="3"/>
    </font>
    <font>
      <b/>
      <u val="single"/>
      <sz val="22"/>
      <name val="굴림"/>
      <family val="3"/>
    </font>
    <font>
      <u val="single"/>
      <sz val="22"/>
      <name val="굴림"/>
      <family val="3"/>
    </font>
    <font>
      <b/>
      <sz val="36"/>
      <name val="굴림"/>
      <family val="3"/>
    </font>
    <font>
      <sz val="16"/>
      <color theme="0"/>
      <name val="굴림"/>
      <family val="3"/>
    </font>
    <font>
      <sz val="8"/>
      <color theme="0"/>
      <name val="굴림"/>
      <family val="3"/>
    </font>
    <font>
      <sz val="14"/>
      <color theme="0"/>
      <name val="굴림"/>
      <family val="3"/>
    </font>
    <font>
      <sz val="11"/>
      <color theme="0"/>
      <name val="굴림"/>
      <family val="3"/>
    </font>
    <font>
      <sz val="11"/>
      <color theme="0"/>
      <name val="돋움"/>
      <family val="3"/>
    </font>
    <font>
      <sz val="11"/>
      <color theme="1"/>
      <name val="굴림"/>
      <family val="3"/>
    </font>
    <font>
      <sz val="16"/>
      <color theme="1"/>
      <name val="굴림"/>
      <family val="3"/>
    </font>
    <font>
      <b/>
      <sz val="12"/>
      <name val="돋움"/>
      <family val="3"/>
    </font>
    <font>
      <sz val="12"/>
      <name val="돋움"/>
      <family val="3"/>
    </font>
    <font>
      <b/>
      <sz val="48"/>
      <name val="굴림"/>
      <family val="3"/>
    </font>
    <font>
      <b/>
      <sz val="28"/>
      <name val="굴림"/>
      <family val="3"/>
    </font>
    <font>
      <sz val="14"/>
      <name val="돋움"/>
      <family val="3"/>
    </font>
    <font>
      <b/>
      <sz val="14"/>
      <name val="돋움"/>
      <family val="3"/>
    </font>
    <font>
      <u val="single"/>
      <sz val="36"/>
      <name val="굴림"/>
      <family val="3"/>
    </font>
    <font>
      <sz val="12"/>
      <color theme="1"/>
      <name val="굴림"/>
      <family val="3"/>
    </font>
    <font>
      <sz val="10"/>
      <name val="돋움"/>
      <family val="3"/>
    </font>
    <font>
      <sz val="9"/>
      <name val="돋움"/>
      <family val="3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9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double"/>
      <right/>
      <top/>
      <bottom/>
    </border>
    <border>
      <left style="double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double"/>
      <top/>
      <bottom/>
    </border>
    <border>
      <left style="medium"/>
      <right/>
      <top/>
      <bottom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double"/>
    </border>
    <border>
      <left style="medium"/>
      <right/>
      <top/>
      <bottom style="medium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double"/>
      <top/>
      <bottom/>
    </border>
    <border>
      <left style="medium"/>
      <right style="thin"/>
      <top/>
      <bottom style="medium"/>
    </border>
    <border>
      <left style="thin"/>
      <right style="double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thin"/>
      <top style="medium"/>
      <bottom/>
      <diagonal style="thin"/>
    </border>
    <border diagonalUp="1">
      <left style="medium"/>
      <right style="thin"/>
      <top/>
      <bottom/>
      <diagonal style="thin"/>
    </border>
    <border diagonalUp="1">
      <left style="medium"/>
      <right style="thin"/>
      <top/>
      <bottom style="medium"/>
      <diagonal style="thin"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58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41" fontId="3" fillId="0" borderId="0" xfId="21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179" fontId="3" fillId="0" borderId="0" xfId="0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41" fontId="9" fillId="0" borderId="1" xfId="21" applyFont="1" applyBorder="1" applyAlignment="1">
      <alignment horizontal="center" vertical="center"/>
    </xf>
    <xf numFmtId="41" fontId="8" fillId="0" borderId="1" xfId="21" applyFont="1" applyBorder="1" applyAlignment="1">
      <alignment horizontal="center" vertical="center"/>
    </xf>
    <xf numFmtId="41" fontId="8" fillId="0" borderId="2" xfId="2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181" fontId="9" fillId="0" borderId="1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3" fontId="9" fillId="0" borderId="4" xfId="0" applyNumberFormat="1" applyFont="1" applyBorder="1" applyAlignment="1">
      <alignment horizontal="center" vertical="center" shrinkToFit="1"/>
    </xf>
    <xf numFmtId="41" fontId="9" fillId="0" borderId="5" xfId="0" applyNumberFormat="1" applyFont="1" applyBorder="1" applyAlignment="1">
      <alignment horizontal="center" vertical="center" shrinkToFit="1"/>
    </xf>
    <xf numFmtId="181" fontId="9" fillId="0" borderId="2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1" fontId="9" fillId="0" borderId="9" xfId="21" applyFont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41" fontId="10" fillId="2" borderId="10" xfId="0" applyNumberFormat="1" applyFont="1" applyFill="1" applyBorder="1" applyAlignment="1">
      <alignment vertical="center"/>
    </xf>
    <xf numFmtId="41" fontId="10" fillId="2" borderId="11" xfId="0" applyNumberFormat="1" applyFont="1" applyFill="1" applyBorder="1" applyAlignment="1">
      <alignment vertical="center"/>
    </xf>
    <xf numFmtId="41" fontId="11" fillId="3" borderId="12" xfId="0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41" fontId="11" fillId="2" borderId="16" xfId="0" applyNumberFormat="1" applyFont="1" applyFill="1" applyBorder="1" applyAlignment="1">
      <alignment vertical="center"/>
    </xf>
    <xf numFmtId="181" fontId="11" fillId="2" borderId="2" xfId="0" applyNumberFormat="1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shrinkToFit="1"/>
    </xf>
    <xf numFmtId="41" fontId="8" fillId="0" borderId="21" xfId="21" applyFont="1" applyBorder="1" applyAlignment="1">
      <alignment horizontal="center" vertical="center"/>
    </xf>
    <xf numFmtId="41" fontId="9" fillId="0" borderId="22" xfId="2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1" fontId="11" fillId="0" borderId="2" xfId="21" applyFont="1" applyBorder="1" applyAlignment="1">
      <alignment horizontal="center" vertical="center"/>
    </xf>
    <xf numFmtId="41" fontId="11" fillId="0" borderId="16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41" fontId="9" fillId="0" borderId="1" xfId="0" applyNumberFormat="1" applyFont="1" applyBorder="1" applyAlignment="1">
      <alignment horizontal="left" vertical="center" shrinkToFit="1"/>
    </xf>
    <xf numFmtId="41" fontId="11" fillId="0" borderId="1" xfId="0" applyNumberFormat="1" applyFont="1" applyBorder="1" applyAlignment="1">
      <alignment horizontal="left" vertical="center" shrinkToFit="1"/>
    </xf>
    <xf numFmtId="41" fontId="8" fillId="0" borderId="1" xfId="0" applyNumberFormat="1" applyFont="1" applyBorder="1" applyAlignment="1">
      <alignment horizontal="left" vertical="center" shrinkToFit="1"/>
    </xf>
    <xf numFmtId="41" fontId="8" fillId="0" borderId="13" xfId="0" applyNumberFormat="1" applyFont="1" applyBorder="1" applyAlignment="1">
      <alignment horizontal="left" vertical="center" shrinkToFit="1"/>
    </xf>
    <xf numFmtId="41" fontId="10" fillId="0" borderId="1" xfId="0" applyNumberFormat="1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41" fontId="8" fillId="0" borderId="19" xfId="21" applyFont="1" applyBorder="1" applyAlignment="1">
      <alignment horizontal="center" vertical="center"/>
    </xf>
    <xf numFmtId="41" fontId="8" fillId="0" borderId="34" xfId="21" applyFont="1" applyBorder="1" applyAlignment="1">
      <alignment horizontal="center" vertical="center"/>
    </xf>
    <xf numFmtId="41" fontId="8" fillId="0" borderId="35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11" fillId="2" borderId="3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9" fontId="0" fillId="0" borderId="0" xfId="2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/>
    </xf>
    <xf numFmtId="41" fontId="9" fillId="0" borderId="22" xfId="21" applyFont="1" applyFill="1" applyBorder="1" applyAlignment="1">
      <alignment horizontal="center" vertical="center"/>
    </xf>
    <xf numFmtId="41" fontId="9" fillId="0" borderId="1" xfId="21" applyFont="1" applyFill="1" applyBorder="1" applyAlignment="1">
      <alignment horizontal="center" vertical="center"/>
    </xf>
    <xf numFmtId="41" fontId="9" fillId="0" borderId="9" xfId="21" applyFont="1" applyFill="1" applyBorder="1" applyAlignment="1">
      <alignment horizontal="center" vertical="center"/>
    </xf>
    <xf numFmtId="41" fontId="11" fillId="0" borderId="2" xfId="21" applyFont="1" applyFill="1" applyBorder="1" applyAlignment="1">
      <alignment horizontal="center" vertical="center"/>
    </xf>
    <xf numFmtId="41" fontId="9" fillId="4" borderId="1" xfId="2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41" fontId="9" fillId="4" borderId="22" xfId="21" applyFont="1" applyFill="1" applyBorder="1" applyAlignment="1">
      <alignment horizontal="center" vertical="center"/>
    </xf>
    <xf numFmtId="41" fontId="9" fillId="4" borderId="9" xfId="2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center" vertical="center" shrinkToFit="1"/>
    </xf>
    <xf numFmtId="181" fontId="9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21" applyFont="1" applyFill="1" applyBorder="1" applyAlignment="1">
      <alignment horizontal="center" vertical="center"/>
    </xf>
    <xf numFmtId="41" fontId="10" fillId="0" borderId="0" xfId="2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178" fontId="18" fillId="0" borderId="0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178" fontId="20" fillId="0" borderId="0" xfId="0" applyNumberFormat="1" applyFont="1" applyBorder="1" applyAlignment="1">
      <alignment horizontal="center" vertical="center" shrinkToFit="1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19" fillId="0" borderId="0" xfId="0" applyNumberFormat="1" applyFont="1" applyBorder="1" applyAlignment="1">
      <alignment horizontal="center" vertical="center" shrinkToFit="1"/>
    </xf>
    <xf numFmtId="41" fontId="21" fillId="0" borderId="0" xfId="21" applyFont="1" applyBorder="1" applyAlignment="1">
      <alignment vertical="center"/>
    </xf>
    <xf numFmtId="41" fontId="11" fillId="4" borderId="2" xfId="2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41" fontId="9" fillId="5" borderId="22" xfId="21" applyFont="1" applyFill="1" applyBorder="1" applyAlignment="1">
      <alignment horizontal="center" vertical="center"/>
    </xf>
    <xf numFmtId="41" fontId="9" fillId="5" borderId="1" xfId="21" applyFont="1" applyFill="1" applyBorder="1" applyAlignment="1">
      <alignment horizontal="center" vertical="center"/>
    </xf>
    <xf numFmtId="41" fontId="9" fillId="5" borderId="9" xfId="21" applyFont="1" applyFill="1" applyBorder="1" applyAlignment="1">
      <alignment horizontal="center" vertical="center"/>
    </xf>
    <xf numFmtId="41" fontId="11" fillId="5" borderId="2" xfId="21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41" fontId="9" fillId="6" borderId="22" xfId="21" applyFont="1" applyFill="1" applyBorder="1" applyAlignment="1">
      <alignment horizontal="center" vertical="center"/>
    </xf>
    <xf numFmtId="41" fontId="9" fillId="6" borderId="1" xfId="21" applyFont="1" applyFill="1" applyBorder="1" applyAlignment="1">
      <alignment horizontal="center" vertical="center"/>
    </xf>
    <xf numFmtId="41" fontId="9" fillId="6" borderId="9" xfId="21" applyFont="1" applyFill="1" applyBorder="1" applyAlignment="1">
      <alignment horizontal="center" vertical="center"/>
    </xf>
    <xf numFmtId="41" fontId="11" fillId="6" borderId="2" xfId="2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41" fontId="10" fillId="2" borderId="13" xfId="21" applyFont="1" applyFill="1" applyBorder="1" applyAlignment="1">
      <alignment horizontal="center" vertical="center"/>
    </xf>
    <xf numFmtId="41" fontId="10" fillId="2" borderId="16" xfId="2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1" fontId="10" fillId="2" borderId="16" xfId="0" applyNumberFormat="1" applyFont="1" applyFill="1" applyBorder="1" applyAlignment="1">
      <alignment horizontal="center" vertical="center"/>
    </xf>
    <xf numFmtId="41" fontId="23" fillId="0" borderId="0" xfId="21" applyFont="1" applyBorder="1" applyAlignment="1">
      <alignment horizontal="center" vertical="center" shrinkToFit="1"/>
    </xf>
    <xf numFmtId="41" fontId="19" fillId="0" borderId="0" xfId="0" applyNumberFormat="1" applyFont="1" applyBorder="1" applyAlignment="1">
      <alignment horizontal="center" vertical="center" shrinkToFit="1"/>
    </xf>
    <xf numFmtId="41" fontId="23" fillId="0" borderId="0" xfId="0" applyNumberFormat="1" applyFont="1" applyBorder="1" applyAlignment="1">
      <alignment horizontal="center" vertical="center" shrinkToFit="1"/>
    </xf>
    <xf numFmtId="41" fontId="11" fillId="0" borderId="4" xfId="0" applyNumberFormat="1" applyFont="1" applyBorder="1" applyAlignment="1">
      <alignment horizontal="left" vertical="center" shrinkToFit="1"/>
    </xf>
    <xf numFmtId="0" fontId="0" fillId="0" borderId="31" xfId="0" applyBorder="1" applyAlignment="1">
      <alignment vertical="center"/>
    </xf>
    <xf numFmtId="0" fontId="9" fillId="6" borderId="1" xfId="0" applyFont="1" applyFill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41" fontId="11" fillId="0" borderId="41" xfId="2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41" fontId="11" fillId="0" borderId="43" xfId="0" applyNumberFormat="1" applyFont="1" applyBorder="1" applyAlignment="1">
      <alignment vertical="center"/>
    </xf>
    <xf numFmtId="41" fontId="9" fillId="0" borderId="7" xfId="0" applyNumberFormat="1" applyFont="1" applyBorder="1" applyAlignment="1">
      <alignment horizontal="left" vertical="center" shrinkToFit="1"/>
    </xf>
    <xf numFmtId="41" fontId="11" fillId="0" borderId="7" xfId="0" applyNumberFormat="1" applyFont="1" applyBorder="1" applyAlignment="1">
      <alignment horizontal="left" vertical="center" shrinkToFit="1"/>
    </xf>
    <xf numFmtId="41" fontId="9" fillId="0" borderId="14" xfId="0" applyNumberFormat="1" applyFont="1" applyBorder="1" applyAlignment="1">
      <alignment horizontal="left" vertical="center" shrinkToFit="1"/>
    </xf>
    <xf numFmtId="41" fontId="9" fillId="0" borderId="6" xfId="0" applyNumberFormat="1" applyFont="1" applyBorder="1" applyAlignment="1">
      <alignment horizontal="left" vertical="center" shrinkToFit="1"/>
    </xf>
    <xf numFmtId="41" fontId="9" fillId="0" borderId="21" xfId="0" applyNumberFormat="1" applyFont="1" applyBorder="1" applyAlignment="1">
      <alignment horizontal="left" vertical="center" shrinkToFit="1"/>
    </xf>
    <xf numFmtId="41" fontId="11" fillId="0" borderId="21" xfId="0" applyNumberFormat="1" applyFont="1" applyBorder="1" applyAlignment="1">
      <alignment horizontal="left" vertical="center" shrinkToFit="1"/>
    </xf>
    <xf numFmtId="41" fontId="0" fillId="0" borderId="0" xfId="0" applyNumberFormat="1" applyAlignment="1">
      <alignment vertical="center" shrinkToFit="1"/>
    </xf>
    <xf numFmtId="0" fontId="11" fillId="0" borderId="20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left" vertical="center" shrinkToFit="1"/>
    </xf>
    <xf numFmtId="41" fontId="11" fillId="0" borderId="19" xfId="0" applyNumberFormat="1" applyFont="1" applyBorder="1" applyAlignment="1">
      <alignment horizontal="left" vertical="center" shrinkToFit="1"/>
    </xf>
    <xf numFmtId="41" fontId="11" fillId="0" borderId="35" xfId="0" applyNumberFormat="1" applyFont="1" applyBorder="1" applyAlignment="1">
      <alignment horizontal="left" vertical="center" shrinkToFit="1"/>
    </xf>
    <xf numFmtId="41" fontId="11" fillId="0" borderId="18" xfId="0" applyNumberFormat="1" applyFont="1" applyBorder="1" applyAlignment="1">
      <alignment horizontal="left" vertical="center" shrinkToFit="1"/>
    </xf>
    <xf numFmtId="0" fontId="11" fillId="0" borderId="45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1" fontId="11" fillId="0" borderId="46" xfId="0" applyNumberFormat="1" applyFont="1" applyBorder="1" applyAlignment="1">
      <alignment horizontal="left" vertical="center" shrinkToFit="1"/>
    </xf>
    <xf numFmtId="0" fontId="11" fillId="0" borderId="4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9" fillId="0" borderId="48" xfId="0" applyFont="1" applyBorder="1" applyAlignment="1">
      <alignment horizontal="left" vertical="center" shrinkToFit="1"/>
    </xf>
    <xf numFmtId="41" fontId="9" fillId="0" borderId="18" xfId="0" applyNumberFormat="1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41" fontId="9" fillId="0" borderId="46" xfId="0" applyNumberFormat="1" applyFont="1" applyBorder="1" applyAlignment="1">
      <alignment horizontal="left" vertical="center" shrinkToFit="1"/>
    </xf>
    <xf numFmtId="41" fontId="10" fillId="2" borderId="51" xfId="0" applyNumberFormat="1" applyFont="1" applyFill="1" applyBorder="1" applyAlignment="1">
      <alignment vertical="center"/>
    </xf>
    <xf numFmtId="41" fontId="10" fillId="0" borderId="21" xfId="0" applyNumberFormat="1" applyFont="1" applyBorder="1" applyAlignment="1">
      <alignment horizontal="left" vertical="center" shrinkToFit="1"/>
    </xf>
    <xf numFmtId="41" fontId="0" fillId="0" borderId="1" xfId="21" applyFont="1" applyBorder="1" applyAlignment="1">
      <alignment vertical="center" shrinkToFit="1"/>
    </xf>
    <xf numFmtId="41" fontId="25" fillId="0" borderId="1" xfId="21" applyFont="1" applyBorder="1" applyAlignment="1">
      <alignment vertical="center" shrinkToFit="1"/>
    </xf>
    <xf numFmtId="41" fontId="11" fillId="0" borderId="11" xfId="0" applyNumberFormat="1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shrinkToFit="1"/>
    </xf>
    <xf numFmtId="0" fontId="9" fillId="5" borderId="2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41" fontId="9" fillId="7" borderId="22" xfId="21" applyFont="1" applyFill="1" applyBorder="1" applyAlignment="1">
      <alignment horizontal="center" vertical="center"/>
    </xf>
    <xf numFmtId="41" fontId="9" fillId="7" borderId="1" xfId="21" applyFont="1" applyFill="1" applyBorder="1" applyAlignment="1">
      <alignment horizontal="center" vertical="center"/>
    </xf>
    <xf numFmtId="41" fontId="9" fillId="7" borderId="9" xfId="21" applyFont="1" applyFill="1" applyBorder="1" applyAlignment="1">
      <alignment horizontal="center" vertical="center"/>
    </xf>
    <xf numFmtId="41" fontId="11" fillId="7" borderId="2" xfId="2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vertical="center"/>
    </xf>
    <xf numFmtId="0" fontId="9" fillId="4" borderId="20" xfId="0" applyFont="1" applyFill="1" applyBorder="1" applyAlignment="1">
      <alignment vertical="center" shrinkToFit="1"/>
    </xf>
    <xf numFmtId="0" fontId="9" fillId="4" borderId="20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 shrinkToFit="1"/>
    </xf>
    <xf numFmtId="0" fontId="11" fillId="0" borderId="17" xfId="0" applyFont="1" applyBorder="1" applyAlignment="1">
      <alignment horizontal="center" vertical="center"/>
    </xf>
    <xf numFmtId="41" fontId="11" fillId="0" borderId="22" xfId="2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9" fillId="5" borderId="21" xfId="0" applyFont="1" applyFill="1" applyBorder="1" applyAlignment="1">
      <alignment vertical="center"/>
    </xf>
    <xf numFmtId="0" fontId="9" fillId="0" borderId="20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5" borderId="20" xfId="0" applyFont="1" applyFill="1" applyBorder="1" applyAlignment="1">
      <alignment vertical="center" shrinkToFit="1"/>
    </xf>
    <xf numFmtId="0" fontId="9" fillId="5" borderId="21" xfId="0" applyFont="1" applyFill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41" fontId="11" fillId="0" borderId="2" xfId="0" applyNumberFormat="1" applyFont="1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11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41" fontId="11" fillId="8" borderId="41" xfId="2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41" fontId="9" fillId="0" borderId="13" xfId="0" applyNumberFormat="1" applyFont="1" applyBorder="1" applyAlignment="1">
      <alignment horizontal="left" vertical="center" shrinkToFit="1"/>
    </xf>
    <xf numFmtId="0" fontId="9" fillId="4" borderId="20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center" shrinkToFit="1"/>
    </xf>
    <xf numFmtId="0" fontId="0" fillId="0" borderId="20" xfId="0" applyBorder="1" applyAlignment="1">
      <alignment vertical="center"/>
    </xf>
    <xf numFmtId="0" fontId="9" fillId="0" borderId="53" xfId="0" applyFont="1" applyBorder="1" applyAlignment="1">
      <alignment horizontal="left" vertical="center" shrinkToFit="1"/>
    </xf>
    <xf numFmtId="0" fontId="0" fillId="0" borderId="53" xfId="0" applyBorder="1" applyAlignment="1">
      <alignment vertical="center" shrinkToFit="1"/>
    </xf>
    <xf numFmtId="41" fontId="11" fillId="9" borderId="36" xfId="0" applyNumberFormat="1" applyFont="1" applyFill="1" applyBorder="1" applyAlignment="1">
      <alignment horizontal="center" vertical="center" shrinkToFit="1"/>
    </xf>
    <xf numFmtId="41" fontId="11" fillId="9" borderId="54" xfId="0" applyNumberFormat="1" applyFont="1" applyFill="1" applyBorder="1" applyAlignment="1">
      <alignment horizontal="center" vertical="center" shrinkToFit="1"/>
    </xf>
    <xf numFmtId="41" fontId="11" fillId="9" borderId="55" xfId="0" applyNumberFormat="1" applyFont="1" applyFill="1" applyBorder="1" applyAlignment="1">
      <alignment horizontal="center" vertical="center" shrinkToFit="1"/>
    </xf>
    <xf numFmtId="41" fontId="11" fillId="9" borderId="12" xfId="0" applyNumberFormat="1" applyFont="1" applyFill="1" applyBorder="1" applyAlignment="1">
      <alignment horizontal="center" vertical="center" shrinkToFit="1"/>
    </xf>
    <xf numFmtId="41" fontId="11" fillId="8" borderId="1" xfId="21" applyFont="1" applyFill="1" applyBorder="1" applyAlignment="1">
      <alignment horizontal="right" vertical="center" wrapText="1"/>
    </xf>
    <xf numFmtId="41" fontId="26" fillId="0" borderId="0" xfId="0" applyNumberFormat="1" applyFont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8" borderId="58" xfId="0" applyFont="1" applyFill="1" applyBorder="1" applyAlignment="1">
      <alignment horizontal="center" vertical="center"/>
    </xf>
    <xf numFmtId="0" fontId="9" fillId="8" borderId="59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1" fillId="7" borderId="38" xfId="0" applyFont="1" applyFill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 shrinkToFit="1"/>
    </xf>
    <xf numFmtId="180" fontId="9" fillId="10" borderId="1" xfId="0" applyNumberFormat="1" applyFont="1" applyFill="1" applyBorder="1" applyAlignment="1">
      <alignment horizontal="center" vertical="center" shrinkToFit="1"/>
    </xf>
    <xf numFmtId="10" fontId="9" fillId="10" borderId="1" xfId="0" applyNumberFormat="1" applyFont="1" applyFill="1" applyBorder="1" applyAlignment="1">
      <alignment horizontal="center" vertical="center" shrinkToFit="1"/>
    </xf>
    <xf numFmtId="0" fontId="11" fillId="11" borderId="1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8" borderId="1" xfId="0" applyFont="1" applyFill="1" applyBorder="1" applyAlignment="1">
      <alignment horizontal="center" vertical="center"/>
    </xf>
    <xf numFmtId="41" fontId="9" fillId="8" borderId="1" xfId="21" applyFont="1" applyFill="1" applyBorder="1" applyAlignment="1">
      <alignment horizontal="center" vertical="center"/>
    </xf>
    <xf numFmtId="41" fontId="9" fillId="0" borderId="1" xfId="21" applyFont="1" applyBorder="1" applyAlignment="1">
      <alignment horizontal="right" vertical="center" wrapText="1"/>
    </xf>
    <xf numFmtId="41" fontId="11" fillId="11" borderId="1" xfId="21" applyNumberFormat="1" applyFont="1" applyFill="1" applyBorder="1" applyAlignment="1">
      <alignment horizontal="right" vertical="center" wrapText="1"/>
    </xf>
    <xf numFmtId="41" fontId="11" fillId="7" borderId="1" xfId="21" applyFont="1" applyFill="1" applyBorder="1" applyAlignment="1">
      <alignment horizontal="right" vertical="center" wrapText="1"/>
    </xf>
    <xf numFmtId="41" fontId="9" fillId="10" borderId="1" xfId="21" applyFont="1" applyFill="1" applyBorder="1" applyAlignment="1">
      <alignment horizontal="right" vertical="center" wrapText="1"/>
    </xf>
    <xf numFmtId="41" fontId="26" fillId="10" borderId="1" xfId="21" applyFont="1" applyFill="1" applyBorder="1" applyAlignment="1">
      <alignment vertical="center"/>
    </xf>
    <xf numFmtId="181" fontId="9" fillId="10" borderId="1" xfId="21" applyNumberFormat="1" applyFont="1" applyFill="1" applyBorder="1" applyAlignment="1">
      <alignment horizontal="right" vertical="center" wrapText="1"/>
    </xf>
    <xf numFmtId="181" fontId="9" fillId="8" borderId="1" xfId="21" applyNumberFormat="1" applyFont="1" applyFill="1" applyBorder="1" applyAlignment="1">
      <alignment horizontal="right" vertical="center" wrapText="1"/>
    </xf>
    <xf numFmtId="41" fontId="11" fillId="11" borderId="1" xfId="21" applyFont="1" applyFill="1" applyBorder="1" applyAlignment="1">
      <alignment horizontal="right" vertical="center" wrapText="1"/>
    </xf>
    <xf numFmtId="41" fontId="0" fillId="0" borderId="9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25" fillId="7" borderId="1" xfId="21" applyFont="1" applyFill="1" applyBorder="1" applyAlignment="1">
      <alignment horizontal="right" vertical="center" wrapText="1"/>
    </xf>
    <xf numFmtId="41" fontId="9" fillId="0" borderId="1" xfId="21" applyFont="1" applyFill="1" applyBorder="1" applyAlignment="1">
      <alignment horizontal="right" vertical="center" wrapText="1"/>
    </xf>
    <xf numFmtId="0" fontId="9" fillId="8" borderId="1" xfId="0" applyFont="1" applyFill="1" applyBorder="1" applyAlignment="1">
      <alignment horizontal="center" vertical="center" shrinkToFit="1"/>
    </xf>
    <xf numFmtId="41" fontId="9" fillId="8" borderId="1" xfId="21" applyFont="1" applyFill="1" applyBorder="1" applyAlignment="1">
      <alignment horizontal="right" vertical="center" wrapText="1"/>
    </xf>
    <xf numFmtId="0" fontId="9" fillId="8" borderId="1" xfId="0" applyFont="1" applyFill="1" applyBorder="1" applyAlignment="1">
      <alignment horizontal="center"/>
    </xf>
    <xf numFmtId="41" fontId="0" fillId="0" borderId="59" xfId="0" applyNumberFormat="1" applyBorder="1" applyAlignment="1">
      <alignment vertical="center"/>
    </xf>
    <xf numFmtId="41" fontId="0" fillId="0" borderId="61" xfId="0" applyNumberFormat="1" applyBorder="1" applyAlignment="1">
      <alignment vertical="center"/>
    </xf>
    <xf numFmtId="41" fontId="9" fillId="10" borderId="61" xfId="21" applyFont="1" applyFill="1" applyBorder="1" applyAlignment="1">
      <alignment horizontal="right" vertical="center" wrapText="1"/>
    </xf>
    <xf numFmtId="41" fontId="0" fillId="0" borderId="58" xfId="0" applyNumberFormat="1" applyBorder="1" applyAlignment="1">
      <alignment vertical="center"/>
    </xf>
    <xf numFmtId="41" fontId="0" fillId="0" borderId="62" xfId="0" applyNumberFormat="1" applyBorder="1" applyAlignment="1">
      <alignment vertical="center"/>
    </xf>
    <xf numFmtId="41" fontId="9" fillId="10" borderId="62" xfId="21" applyFont="1" applyFill="1" applyBorder="1" applyAlignment="1">
      <alignment horizontal="right" vertical="center" wrapText="1"/>
    </xf>
    <xf numFmtId="0" fontId="0" fillId="0" borderId="63" xfId="0" applyBorder="1" applyAlignment="1">
      <alignment vertical="center"/>
    </xf>
    <xf numFmtId="41" fontId="9" fillId="8" borderId="62" xfId="21" applyFont="1" applyFill="1" applyBorder="1" applyAlignment="1">
      <alignment horizontal="right" vertical="center" wrapText="1"/>
    </xf>
    <xf numFmtId="41" fontId="9" fillId="8" borderId="61" xfId="21" applyFont="1" applyFill="1" applyBorder="1" applyAlignment="1">
      <alignment horizontal="right" vertical="center" wrapText="1"/>
    </xf>
    <xf numFmtId="0" fontId="9" fillId="12" borderId="1" xfId="0" applyFont="1" applyFill="1" applyBorder="1" applyAlignment="1">
      <alignment horizontal="center" vertical="center" shrinkToFit="1"/>
    </xf>
    <xf numFmtId="0" fontId="9" fillId="12" borderId="1" xfId="0" applyFont="1" applyFill="1" applyBorder="1" applyAlignment="1">
      <alignment horizontal="center" vertical="center"/>
    </xf>
    <xf numFmtId="41" fontId="9" fillId="12" borderId="1" xfId="21" applyFont="1" applyFill="1" applyBorder="1" applyAlignment="1">
      <alignment horizontal="center" vertical="center"/>
    </xf>
    <xf numFmtId="41" fontId="11" fillId="12" borderId="1" xfId="21" applyFont="1" applyFill="1" applyBorder="1" applyAlignment="1">
      <alignment horizontal="right" vertical="center" wrapText="1"/>
    </xf>
    <xf numFmtId="41" fontId="9" fillId="12" borderId="1" xfId="21" applyFont="1" applyFill="1" applyBorder="1" applyAlignment="1">
      <alignment horizontal="right" vertical="center" wrapText="1"/>
    </xf>
    <xf numFmtId="41" fontId="11" fillId="12" borderId="1" xfId="21" applyNumberFormat="1" applyFont="1" applyFill="1" applyBorder="1" applyAlignment="1">
      <alignment horizontal="right" vertical="center" wrapText="1"/>
    </xf>
    <xf numFmtId="41" fontId="26" fillId="12" borderId="1" xfId="21" applyFont="1" applyFill="1" applyBorder="1" applyAlignment="1">
      <alignment vertical="center"/>
    </xf>
    <xf numFmtId="181" fontId="9" fillId="12" borderId="1" xfId="21" applyNumberFormat="1" applyFont="1" applyFill="1" applyBorder="1" applyAlignment="1">
      <alignment horizontal="right" vertical="center" wrapText="1"/>
    </xf>
    <xf numFmtId="41" fontId="0" fillId="0" borderId="4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9" fillId="8" borderId="44" xfId="0" applyFont="1" applyFill="1" applyBorder="1" applyAlignment="1">
      <alignment horizontal="center" vertical="center"/>
    </xf>
    <xf numFmtId="41" fontId="9" fillId="8" borderId="19" xfId="21" applyFont="1" applyFill="1" applyBorder="1" applyAlignment="1">
      <alignment horizontal="right" vertical="center" wrapText="1"/>
    </xf>
    <xf numFmtId="41" fontId="25" fillId="12" borderId="1" xfId="21" applyFont="1" applyFill="1" applyBorder="1" applyAlignment="1">
      <alignment horizontal="right" vertical="center" wrapText="1"/>
    </xf>
    <xf numFmtId="41" fontId="32" fillId="8" borderId="1" xfId="21" applyFont="1" applyFill="1" applyBorder="1" applyAlignment="1">
      <alignment horizontal="center" vertical="center"/>
    </xf>
    <xf numFmtId="0" fontId="9" fillId="8" borderId="56" xfId="0" applyFont="1" applyFill="1" applyBorder="1" applyAlignment="1">
      <alignment horizontal="center" vertical="center"/>
    </xf>
    <xf numFmtId="41" fontId="9" fillId="10" borderId="56" xfId="21" applyFont="1" applyFill="1" applyBorder="1" applyAlignment="1">
      <alignment horizontal="right" vertical="center" wrapText="1"/>
    </xf>
    <xf numFmtId="41" fontId="11" fillId="8" borderId="1" xfId="0" applyNumberFormat="1" applyFont="1" applyFill="1" applyBorder="1" applyAlignment="1">
      <alignment vertical="center" shrinkToFit="1"/>
    </xf>
    <xf numFmtId="41" fontId="11" fillId="8" borderId="1" xfId="21" applyFont="1" applyFill="1" applyBorder="1" applyAlignment="1">
      <alignment horizontal="right" vertical="center" wrapText="1" shrinkToFit="1"/>
    </xf>
    <xf numFmtId="41" fontId="0" fillId="0" borderId="48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1" fontId="9" fillId="0" borderId="21" xfId="21" applyFont="1" applyBorder="1" applyAlignment="1">
      <alignment horizontal="center" vertical="center"/>
    </xf>
    <xf numFmtId="0" fontId="9" fillId="8" borderId="37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41" fontId="9" fillId="0" borderId="7" xfId="2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64" xfId="0" applyNumberFormat="1" applyFont="1" applyBorder="1" applyAlignment="1">
      <alignment horizontal="center" vertical="center"/>
    </xf>
    <xf numFmtId="41" fontId="11" fillId="0" borderId="65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vertical="center"/>
    </xf>
    <xf numFmtId="41" fontId="26" fillId="0" borderId="1" xfId="21" applyFont="1" applyBorder="1" applyAlignment="1">
      <alignment vertical="center"/>
    </xf>
    <xf numFmtId="41" fontId="26" fillId="0" borderId="20" xfId="2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1" fontId="26" fillId="0" borderId="4" xfId="21" applyFont="1" applyBorder="1" applyAlignment="1">
      <alignment vertical="center"/>
    </xf>
    <xf numFmtId="41" fontId="25" fillId="0" borderId="4" xfId="21" applyFont="1" applyBorder="1" applyAlignment="1">
      <alignment vertical="center"/>
    </xf>
    <xf numFmtId="41" fontId="26" fillId="0" borderId="5" xfId="21" applyFont="1" applyBorder="1" applyAlignment="1">
      <alignment vertical="center"/>
    </xf>
    <xf numFmtId="0" fontId="0" fillId="0" borderId="37" xfId="0" applyBorder="1" applyAlignment="1">
      <alignment vertical="center"/>
    </xf>
    <xf numFmtId="41" fontId="25" fillId="0" borderId="1" xfId="21" applyFont="1" applyBorder="1" applyAlignment="1">
      <alignment vertical="center"/>
    </xf>
    <xf numFmtId="41" fontId="26" fillId="0" borderId="2" xfId="21" applyFont="1" applyBorder="1" applyAlignment="1">
      <alignment vertical="center"/>
    </xf>
    <xf numFmtId="41" fontId="26" fillId="0" borderId="31" xfId="0" applyNumberFormat="1" applyFont="1" applyBorder="1" applyAlignment="1">
      <alignment vertical="center"/>
    </xf>
    <xf numFmtId="41" fontId="25" fillId="0" borderId="31" xfId="0" applyNumberFormat="1" applyFont="1" applyBorder="1" applyAlignment="1">
      <alignment vertical="center"/>
    </xf>
    <xf numFmtId="41" fontId="26" fillId="0" borderId="66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1" fontId="30" fillId="0" borderId="0" xfId="0" applyNumberFormat="1" applyFont="1" applyAlignment="1">
      <alignment vertical="center"/>
    </xf>
    <xf numFmtId="0" fontId="11" fillId="8" borderId="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41" fontId="26" fillId="0" borderId="1" xfId="21" applyFont="1" applyBorder="1" applyAlignment="1">
      <alignment horizontal="center" vertical="center"/>
    </xf>
    <xf numFmtId="41" fontId="9" fillId="8" borderId="20" xfId="21" applyFont="1" applyFill="1" applyBorder="1" applyAlignment="1">
      <alignment horizontal="center" vertical="center"/>
    </xf>
    <xf numFmtId="41" fontId="26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41" fontId="9" fillId="8" borderId="21" xfId="21" applyFont="1" applyFill="1" applyBorder="1" applyAlignment="1">
      <alignment horizontal="center" vertical="center"/>
    </xf>
    <xf numFmtId="41" fontId="11" fillId="14" borderId="1" xfId="21" applyFont="1" applyFill="1" applyBorder="1" applyAlignment="1">
      <alignment horizontal="center" vertical="center"/>
    </xf>
    <xf numFmtId="41" fontId="11" fillId="14" borderId="1" xfId="21" applyFont="1" applyFill="1" applyBorder="1" applyAlignment="1">
      <alignment horizontal="right" vertical="center" wrapText="1"/>
    </xf>
    <xf numFmtId="41" fontId="9" fillId="14" borderId="1" xfId="21" applyFont="1" applyFill="1" applyBorder="1" applyAlignment="1">
      <alignment horizontal="right" vertical="center" wrapText="1"/>
    </xf>
    <xf numFmtId="41" fontId="25" fillId="14" borderId="1" xfId="21" applyFont="1" applyFill="1" applyBorder="1" applyAlignment="1">
      <alignment vertical="center"/>
    </xf>
    <xf numFmtId="41" fontId="25" fillId="14" borderId="1" xfId="0" applyNumberFormat="1" applyFont="1" applyFill="1" applyBorder="1" applyAlignment="1">
      <alignment vertical="center"/>
    </xf>
    <xf numFmtId="41" fontId="26" fillId="8" borderId="1" xfId="21" applyFont="1" applyFill="1" applyBorder="1" applyAlignment="1">
      <alignment vertical="center"/>
    </xf>
    <xf numFmtId="41" fontId="26" fillId="0" borderId="20" xfId="21" applyFont="1" applyBorder="1" applyAlignment="1">
      <alignment horizontal="center" vertical="center"/>
    </xf>
    <xf numFmtId="41" fontId="9" fillId="8" borderId="19" xfId="21" applyFont="1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41" fontId="26" fillId="0" borderId="19" xfId="21" applyFont="1" applyBorder="1" applyAlignment="1">
      <alignment horizontal="center" vertical="center"/>
    </xf>
    <xf numFmtId="41" fontId="26" fillId="0" borderId="21" xfId="21" applyFont="1" applyBorder="1" applyAlignment="1">
      <alignment horizontal="center" vertical="center"/>
    </xf>
    <xf numFmtId="41" fontId="25" fillId="14" borderId="19" xfId="21" applyFont="1" applyFill="1" applyBorder="1" applyAlignment="1">
      <alignment vertical="center"/>
    </xf>
    <xf numFmtId="181" fontId="25" fillId="14" borderId="1" xfId="0" applyNumberFormat="1" applyFont="1" applyFill="1" applyBorder="1" applyAlignment="1">
      <alignment vertical="center"/>
    </xf>
    <xf numFmtId="0" fontId="26" fillId="12" borderId="1" xfId="0" applyFont="1" applyFill="1" applyBorder="1" applyAlignment="1">
      <alignment horizontal="center" vertical="center" shrinkToFit="1"/>
    </xf>
    <xf numFmtId="0" fontId="25" fillId="12" borderId="1" xfId="0" applyFont="1" applyFill="1" applyBorder="1" applyAlignment="1">
      <alignment horizontal="center" vertical="center"/>
    </xf>
    <xf numFmtId="41" fontId="26" fillId="12" borderId="20" xfId="21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41" fontId="26" fillId="12" borderId="20" xfId="21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30" fillId="15" borderId="13" xfId="0" applyFont="1" applyFill="1" applyBorder="1" applyAlignment="1">
      <alignment vertical="center"/>
    </xf>
    <xf numFmtId="41" fontId="30" fillId="15" borderId="13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41" fontId="25" fillId="7" borderId="9" xfId="21" applyFont="1" applyFill="1" applyBorder="1" applyAlignment="1">
      <alignment horizontal="right" vertical="center" wrapText="1"/>
    </xf>
    <xf numFmtId="41" fontId="11" fillId="8" borderId="48" xfId="21" applyFont="1" applyFill="1" applyBorder="1" applyAlignment="1">
      <alignment horizontal="right" vertical="center" wrapText="1" shrinkToFit="1"/>
    </xf>
    <xf numFmtId="0" fontId="8" fillId="0" borderId="67" xfId="0" applyFont="1" applyBorder="1" applyAlignment="1">
      <alignment horizontal="left" vertical="center" shrinkToFit="1"/>
    </xf>
    <xf numFmtId="0" fontId="8" fillId="0" borderId="48" xfId="0" applyFont="1" applyBorder="1" applyAlignment="1">
      <alignment horizontal="left" vertical="center" shrinkToFit="1"/>
    </xf>
    <xf numFmtId="0" fontId="0" fillId="0" borderId="44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9" fillId="0" borderId="13" xfId="0" applyFont="1" applyBorder="1" applyAlignment="1">
      <alignment horizontal="left" vertical="center" shrinkToFit="1"/>
    </xf>
    <xf numFmtId="41" fontId="9" fillId="0" borderId="10" xfId="0" applyNumberFormat="1" applyFont="1" applyBorder="1" applyAlignment="1">
      <alignment horizontal="left" vertical="center" shrinkToFit="1"/>
    </xf>
    <xf numFmtId="0" fontId="9" fillId="0" borderId="68" xfId="0" applyFont="1" applyBorder="1" applyAlignment="1">
      <alignment horizontal="left" vertical="center" shrinkToFit="1"/>
    </xf>
    <xf numFmtId="41" fontId="9" fillId="0" borderId="69" xfId="0" applyNumberFormat="1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70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71" xfId="0" applyFont="1" applyBorder="1" applyAlignment="1">
      <alignment horizontal="left" vertical="center" shrinkToFit="1"/>
    </xf>
    <xf numFmtId="41" fontId="9" fillId="0" borderId="38" xfId="0" applyNumberFormat="1" applyFont="1" applyBorder="1" applyAlignment="1">
      <alignment horizontal="left" vertical="center" shrinkToFit="1"/>
    </xf>
    <xf numFmtId="41" fontId="9" fillId="0" borderId="72" xfId="0" applyNumberFormat="1" applyFont="1" applyBorder="1" applyAlignment="1">
      <alignment horizontal="left" vertical="center" shrinkToFit="1"/>
    </xf>
    <xf numFmtId="0" fontId="9" fillId="0" borderId="73" xfId="0" applyFont="1" applyBorder="1" applyAlignment="1">
      <alignment horizontal="left" vertical="center" shrinkToFi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right" vertical="center" shrinkToFit="1"/>
    </xf>
    <xf numFmtId="0" fontId="11" fillId="9" borderId="80" xfId="0" applyFont="1" applyFill="1" applyBorder="1" applyAlignment="1">
      <alignment horizontal="center" vertical="center" shrinkToFit="1"/>
    </xf>
    <xf numFmtId="0" fontId="11" fillId="9" borderId="75" xfId="0" applyFont="1" applyFill="1" applyBorder="1" applyAlignment="1">
      <alignment horizontal="center" vertical="center" shrinkToFit="1"/>
    </xf>
    <xf numFmtId="0" fontId="11" fillId="9" borderId="82" xfId="0" applyFont="1" applyFill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9" fillId="0" borderId="1" xfId="2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41" fontId="24" fillId="0" borderId="0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41" fontId="8" fillId="0" borderId="7" xfId="21" applyFont="1" applyBorder="1" applyAlignment="1">
      <alignment horizontal="center" vertical="center"/>
    </xf>
    <xf numFmtId="41" fontId="8" fillId="0" borderId="9" xfId="21" applyFont="1" applyBorder="1" applyAlignment="1">
      <alignment horizontal="center" vertical="center"/>
    </xf>
    <xf numFmtId="41" fontId="9" fillId="0" borderId="4" xfId="2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3" borderId="88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shrinkToFit="1"/>
    </xf>
    <xf numFmtId="0" fontId="9" fillId="4" borderId="21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26" fillId="10" borderId="22" xfId="0" applyFont="1" applyFill="1" applyBorder="1" applyAlignment="1">
      <alignment horizontal="center" vertical="center"/>
    </xf>
    <xf numFmtId="0" fontId="26" fillId="10" borderId="90" xfId="0" applyFont="1" applyFill="1" applyBorder="1" applyAlignment="1">
      <alignment horizontal="center" vertical="center"/>
    </xf>
    <xf numFmtId="0" fontId="26" fillId="10" borderId="9" xfId="0" applyFont="1" applyFill="1" applyBorder="1" applyAlignment="1">
      <alignment horizontal="center" vertical="center"/>
    </xf>
    <xf numFmtId="0" fontId="26" fillId="12" borderId="20" xfId="0" applyFont="1" applyFill="1" applyBorder="1" applyAlignment="1">
      <alignment horizontal="center" vertical="center"/>
    </xf>
    <xf numFmtId="0" fontId="26" fillId="12" borderId="19" xfId="0" applyFont="1" applyFill="1" applyBorder="1" applyAlignment="1">
      <alignment horizontal="center" vertical="center"/>
    </xf>
    <xf numFmtId="0" fontId="26" fillId="12" borderId="21" xfId="0" applyFont="1" applyFill="1" applyBorder="1" applyAlignment="1">
      <alignment horizontal="center" vertical="center"/>
    </xf>
    <xf numFmtId="0" fontId="33" fillId="12" borderId="20" xfId="0" applyFont="1" applyFill="1" applyBorder="1" applyAlignment="1">
      <alignment horizontal="center" vertical="center" wrapText="1"/>
    </xf>
    <xf numFmtId="0" fontId="33" fillId="12" borderId="19" xfId="0" applyFont="1" applyFill="1" applyBorder="1" applyAlignment="1">
      <alignment horizontal="center" vertical="center" wrapText="1"/>
    </xf>
    <xf numFmtId="0" fontId="33" fillId="12" borderId="21" xfId="0" applyFont="1" applyFill="1" applyBorder="1" applyAlignment="1">
      <alignment horizontal="center" vertical="center" wrapText="1"/>
    </xf>
    <xf numFmtId="0" fontId="26" fillId="12" borderId="90" xfId="0" applyFont="1" applyFill="1" applyBorder="1" applyAlignment="1">
      <alignment horizontal="center" vertical="center"/>
    </xf>
    <xf numFmtId="0" fontId="26" fillId="12" borderId="9" xfId="0" applyFont="1" applyFill="1" applyBorder="1" applyAlignment="1">
      <alignment horizontal="center" vertical="center"/>
    </xf>
    <xf numFmtId="0" fontId="30" fillId="15" borderId="91" xfId="0" applyFont="1" applyFill="1" applyBorder="1" applyAlignment="1">
      <alignment horizontal="center" vertical="center"/>
    </xf>
    <xf numFmtId="0" fontId="30" fillId="15" borderId="92" xfId="0" applyFont="1" applyFill="1" applyBorder="1" applyAlignment="1">
      <alignment horizontal="center" vertical="center"/>
    </xf>
    <xf numFmtId="0" fontId="30" fillId="15" borderId="1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33" fillId="0" borderId="20" xfId="21" applyFont="1" applyBorder="1" applyAlignment="1">
      <alignment horizontal="center" vertical="center" wrapText="1"/>
    </xf>
    <xf numFmtId="41" fontId="33" fillId="0" borderId="19" xfId="21" applyFont="1" applyBorder="1" applyAlignment="1">
      <alignment horizontal="center" vertical="center" wrapText="1"/>
    </xf>
    <xf numFmtId="41" fontId="33" fillId="0" borderId="21" xfId="21" applyFont="1" applyBorder="1" applyAlignment="1">
      <alignment horizontal="center" vertical="center" wrapText="1"/>
    </xf>
    <xf numFmtId="41" fontId="26" fillId="0" borderId="20" xfId="21" applyFont="1" applyBorder="1" applyAlignment="1">
      <alignment horizontal="center" vertical="center"/>
    </xf>
    <xf numFmtId="41" fontId="26" fillId="0" borderId="21" xfId="21" applyFont="1" applyBorder="1" applyAlignment="1">
      <alignment horizontal="center" vertical="center"/>
    </xf>
    <xf numFmtId="41" fontId="26" fillId="0" borderId="19" xfId="21" applyFont="1" applyBorder="1" applyAlignment="1">
      <alignment horizontal="center" vertical="center"/>
    </xf>
    <xf numFmtId="41" fontId="34" fillId="0" borderId="20" xfId="21" applyFont="1" applyBorder="1" applyAlignment="1">
      <alignment horizontal="center" vertical="center" wrapText="1"/>
    </xf>
    <xf numFmtId="41" fontId="34" fillId="0" borderId="19" xfId="21" applyFont="1" applyBorder="1" applyAlignment="1">
      <alignment horizontal="center" vertical="center" wrapText="1"/>
    </xf>
    <xf numFmtId="41" fontId="34" fillId="0" borderId="21" xfId="21" applyFont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1" fontId="9" fillId="8" borderId="20" xfId="21" applyFont="1" applyFill="1" applyBorder="1" applyAlignment="1">
      <alignment horizontal="center" vertical="center"/>
    </xf>
    <xf numFmtId="41" fontId="9" fillId="8" borderId="21" xfId="21" applyFont="1" applyFill="1" applyBorder="1" applyAlignment="1">
      <alignment horizontal="center" vertical="center"/>
    </xf>
    <xf numFmtId="41" fontId="9" fillId="8" borderId="19" xfId="2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41" fontId="9" fillId="0" borderId="7" xfId="21" applyFont="1" applyBorder="1" applyAlignment="1">
      <alignment horizontal="center" vertical="center"/>
    </xf>
    <xf numFmtId="41" fontId="9" fillId="0" borderId="9" xfId="2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6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1" fontId="9" fillId="0" borderId="1" xfId="2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41" fontId="25" fillId="7" borderId="1" xfId="21" applyFont="1" applyFill="1" applyBorder="1" applyAlignment="1">
      <alignment horizontal="right" vertical="center" wrapText="1"/>
    </xf>
    <xf numFmtId="41" fontId="9" fillId="0" borderId="21" xfId="2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41" fontId="25" fillId="12" borderId="1" xfId="2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 wrapText="1" shrinkToFit="1"/>
    </xf>
    <xf numFmtId="0" fontId="13" fillId="10" borderId="19" xfId="0" applyFont="1" applyFill="1" applyBorder="1" applyAlignment="1">
      <alignment horizontal="center" vertical="center" wrapText="1" shrinkToFit="1"/>
    </xf>
    <xf numFmtId="0" fontId="13" fillId="10" borderId="21" xfId="0" applyFont="1" applyFill="1" applyBorder="1" applyAlignment="1">
      <alignment horizontal="center" vertical="center" wrapText="1" shrinkToFit="1"/>
    </xf>
    <xf numFmtId="0" fontId="11" fillId="11" borderId="38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쉼표 [0]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4"/>
  <sheetViews>
    <sheetView view="pageBreakPreview" zoomScale="60" workbookViewId="0" topLeftCell="A1">
      <selection activeCell="H41" sqref="H41"/>
    </sheetView>
  </sheetViews>
  <sheetFormatPr defaultColWidth="8.88671875" defaultRowHeight="13.5"/>
  <cols>
    <col min="1" max="12" width="12.99609375" style="1" customWidth="1"/>
    <col min="13" max="16384" width="8.88671875" style="1" customWidth="1"/>
  </cols>
  <sheetData>
    <row r="1" ht="29.25" customHeight="1"/>
    <row r="2" ht="29.25" customHeight="1"/>
    <row r="3" spans="1:12" s="2" customFormat="1" ht="141.75" customHeight="1">
      <c r="A3" s="404" t="s">
        <v>189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29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9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61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61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61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61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2" customFormat="1" ht="29.25" customHeight="1">
      <c r="A10" s="405" t="s">
        <v>74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</row>
    <row r="11" ht="29.25" customHeight="1"/>
    <row r="12" ht="29.25" customHeight="1"/>
    <row r="13" ht="139.5" customHeight="1"/>
    <row r="14" spans="1:12" ht="76.5" customHeight="1">
      <c r="A14" s="404" t="s">
        <v>190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</row>
    <row r="15" spans="1:12" ht="29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9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9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9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9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9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9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9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9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29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9.25" customHeight="1">
      <c r="A25" s="405" t="s">
        <v>74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</row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spans="1:12" ht="80.25" customHeight="1">
      <c r="A33" s="402" t="s">
        <v>327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</row>
    <row r="34" spans="1:12" ht="29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9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29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29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29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29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29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29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29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29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9.25" customHeight="1">
      <c r="A44" s="403" t="s">
        <v>74</v>
      </c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</row>
  </sheetData>
  <mergeCells count="6">
    <mergeCell ref="A33:L33"/>
    <mergeCell ref="A44:L44"/>
    <mergeCell ref="A3:L3"/>
    <mergeCell ref="A10:L10"/>
    <mergeCell ref="A14:L14"/>
    <mergeCell ref="A25:L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&amp;C&amp;"돋움,굵게"&amp;14-&amp;P+76-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tabSelected="1" view="pageBreakPreview" zoomScale="60" workbookViewId="0" topLeftCell="A1">
      <selection activeCell="E10" sqref="E10"/>
    </sheetView>
  </sheetViews>
  <sheetFormatPr defaultColWidth="8.88671875" defaultRowHeight="13.5"/>
  <cols>
    <col min="1" max="1" width="8.88671875" style="86" customWidth="1"/>
    <col min="2" max="2" width="9.6640625" style="86" customWidth="1"/>
    <col min="3" max="3" width="10.77734375" style="86" customWidth="1"/>
    <col min="4" max="4" width="11.6640625" style="86" customWidth="1"/>
    <col min="5" max="5" width="10.6640625" style="86" customWidth="1"/>
    <col min="6" max="6" width="7.77734375" style="86" customWidth="1"/>
    <col min="7" max="7" width="5.10546875" style="86" customWidth="1"/>
    <col min="8" max="8" width="7.6640625" style="86" customWidth="1"/>
    <col min="9" max="9" width="8.10546875" style="86" customWidth="1"/>
    <col min="10" max="10" width="10.99609375" style="86" customWidth="1"/>
    <col min="11" max="11" width="11.88671875" style="86" customWidth="1"/>
    <col min="12" max="12" width="10.4453125" style="86" customWidth="1"/>
    <col min="13" max="13" width="8.3359375" style="86" customWidth="1"/>
    <col min="14" max="14" width="4.88671875" style="86" customWidth="1"/>
    <col min="15" max="17" width="8.88671875" style="86" hidden="1" customWidth="1"/>
    <col min="18" max="16384" width="8.88671875" style="86" customWidth="1"/>
  </cols>
  <sheetData>
    <row r="1" spans="1:14" ht="27" customHeight="1">
      <c r="A1" s="417" t="s">
        <v>328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ht="1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422" t="s">
        <v>77</v>
      </c>
      <c r="L2" s="422"/>
      <c r="M2" s="422"/>
      <c r="N2" s="422"/>
    </row>
    <row r="3" spans="1:14" ht="19.5" customHeight="1" thickBot="1">
      <c r="A3" s="420" t="s">
        <v>173</v>
      </c>
      <c r="B3" s="410"/>
      <c r="C3" s="410"/>
      <c r="D3" s="410"/>
      <c r="E3" s="410"/>
      <c r="F3" s="410"/>
      <c r="G3" s="421"/>
      <c r="H3" s="410" t="s">
        <v>174</v>
      </c>
      <c r="I3" s="410"/>
      <c r="J3" s="410"/>
      <c r="K3" s="410"/>
      <c r="L3" s="410"/>
      <c r="M3" s="410"/>
      <c r="N3" s="411"/>
    </row>
    <row r="4" spans="1:14" ht="15" customHeight="1">
      <c r="A4" s="408" t="s">
        <v>0</v>
      </c>
      <c r="B4" s="406" t="s">
        <v>1</v>
      </c>
      <c r="C4" s="418" t="s">
        <v>2</v>
      </c>
      <c r="D4" s="406" t="s">
        <v>181</v>
      </c>
      <c r="E4" s="406" t="s">
        <v>183</v>
      </c>
      <c r="F4" s="426" t="s">
        <v>76</v>
      </c>
      <c r="G4" s="427"/>
      <c r="H4" s="408" t="s">
        <v>0</v>
      </c>
      <c r="I4" s="406" t="s">
        <v>1</v>
      </c>
      <c r="J4" s="418" t="s">
        <v>2</v>
      </c>
      <c r="K4" s="406" t="str">
        <f>D4</f>
        <v>예산액</v>
      </c>
      <c r="L4" s="406" t="str">
        <f>E4</f>
        <v>전년도예산액</v>
      </c>
      <c r="M4" s="426" t="s">
        <v>70</v>
      </c>
      <c r="N4" s="428"/>
    </row>
    <row r="5" spans="1:14" ht="15" customHeight="1" thickBot="1">
      <c r="A5" s="429"/>
      <c r="B5" s="407"/>
      <c r="C5" s="419"/>
      <c r="D5" s="407"/>
      <c r="E5" s="407"/>
      <c r="F5" s="154" t="s">
        <v>78</v>
      </c>
      <c r="G5" s="160" t="s">
        <v>79</v>
      </c>
      <c r="H5" s="409"/>
      <c r="I5" s="407"/>
      <c r="J5" s="419"/>
      <c r="K5" s="407"/>
      <c r="L5" s="407"/>
      <c r="M5" s="154" t="s">
        <v>78</v>
      </c>
      <c r="N5" s="163" t="s">
        <v>80</v>
      </c>
    </row>
    <row r="6" spans="1:17" ht="27.75" customHeight="1" thickBot="1">
      <c r="A6" s="423" t="s">
        <v>7</v>
      </c>
      <c r="B6" s="424"/>
      <c r="C6" s="425"/>
      <c r="D6" s="236">
        <v>1067200</v>
      </c>
      <c r="E6" s="236">
        <v>1065200</v>
      </c>
      <c r="F6" s="236">
        <f aca="true" t="shared" si="0" ref="F6:F12">D6-E6</f>
        <v>2000</v>
      </c>
      <c r="G6" s="237">
        <f aca="true" t="shared" si="1" ref="G6:G12">(D6/E6%)-100</f>
        <v>0.18775816748028262</v>
      </c>
      <c r="H6" s="424" t="s">
        <v>7</v>
      </c>
      <c r="I6" s="424"/>
      <c r="J6" s="425"/>
      <c r="K6" s="236">
        <f>K7+K25+K30+K68+K71</f>
        <v>1067200</v>
      </c>
      <c r="L6" s="236">
        <f>L7+L25+L30+L68+L71</f>
        <v>1065200</v>
      </c>
      <c r="M6" s="238">
        <f>K6-L6</f>
        <v>2000</v>
      </c>
      <c r="N6" s="239">
        <f>(K6/L6%)-100</f>
        <v>0.18775816748028262</v>
      </c>
      <c r="O6" s="86">
        <v>535000000</v>
      </c>
      <c r="P6" s="85">
        <v>535000000</v>
      </c>
      <c r="Q6" s="153">
        <f>D6-K6</f>
        <v>0</v>
      </c>
    </row>
    <row r="7" spans="1:16" ht="16.5" customHeight="1">
      <c r="A7" s="74" t="s">
        <v>8</v>
      </c>
      <c r="B7" s="155"/>
      <c r="C7" s="223"/>
      <c r="D7" s="152">
        <v>40680</v>
      </c>
      <c r="E7" s="152">
        <v>48972</v>
      </c>
      <c r="F7" s="152">
        <f t="shared" si="0"/>
        <v>-8292</v>
      </c>
      <c r="G7" s="162">
        <f t="shared" si="1"/>
        <v>-16.932124479294302</v>
      </c>
      <c r="H7" s="156" t="s">
        <v>9</v>
      </c>
      <c r="I7" s="66"/>
      <c r="J7" s="156"/>
      <c r="K7" s="157">
        <f>K8+K15+K18</f>
        <v>846656</v>
      </c>
      <c r="L7" s="157">
        <f>L8+L15+L18</f>
        <v>871024</v>
      </c>
      <c r="M7" s="159">
        <f>K7-L7</f>
        <v>-24368</v>
      </c>
      <c r="N7" s="158">
        <f>(K7/L7%)-100</f>
        <v>-2.797626701445651</v>
      </c>
      <c r="O7" s="86">
        <v>448989550</v>
      </c>
      <c r="P7" s="140">
        <v>17010000</v>
      </c>
    </row>
    <row r="8" spans="1:16" ht="16.5" customHeight="1">
      <c r="A8" s="74"/>
      <c r="B8" s="65" t="s">
        <v>10</v>
      </c>
      <c r="C8" s="59"/>
      <c r="D8" s="54">
        <v>40680</v>
      </c>
      <c r="E8" s="54">
        <v>48972</v>
      </c>
      <c r="F8" s="151">
        <f t="shared" si="0"/>
        <v>-8292</v>
      </c>
      <c r="G8" s="170">
        <f t="shared" si="1"/>
        <v>-16.932124479294302</v>
      </c>
      <c r="H8" s="156"/>
      <c r="I8" s="65" t="s">
        <v>11</v>
      </c>
      <c r="J8" s="59"/>
      <c r="K8" s="54">
        <f>SUM(K9:K14)</f>
        <v>795720</v>
      </c>
      <c r="L8" s="54">
        <f>SUM(L9:L14)</f>
        <v>823908</v>
      </c>
      <c r="M8" s="147">
        <f>K8-L8</f>
        <v>-28188</v>
      </c>
      <c r="N8" s="158">
        <f>(K8/L8%)-100</f>
        <v>-3.421255771275426</v>
      </c>
      <c r="O8" s="86">
        <v>428289550</v>
      </c>
      <c r="P8" s="54">
        <v>17010000</v>
      </c>
    </row>
    <row r="9" spans="1:16" ht="16.5" customHeight="1">
      <c r="A9" s="60"/>
      <c r="B9" s="62"/>
      <c r="C9" s="59" t="s">
        <v>10</v>
      </c>
      <c r="D9" s="54">
        <v>40680</v>
      </c>
      <c r="E9" s="54">
        <v>48972</v>
      </c>
      <c r="F9" s="151">
        <f t="shared" si="0"/>
        <v>-8292</v>
      </c>
      <c r="G9" s="170">
        <f t="shared" si="1"/>
        <v>-16.932124479294302</v>
      </c>
      <c r="H9" s="156"/>
      <c r="I9" s="66"/>
      <c r="J9" s="59" t="s">
        <v>12</v>
      </c>
      <c r="K9" s="54">
        <v>482729</v>
      </c>
      <c r="L9" s="54">
        <v>496522</v>
      </c>
      <c r="M9" s="147">
        <f>K9-L9</f>
        <v>-13793</v>
      </c>
      <c r="N9" s="158">
        <f>(K9/L9%)-100</f>
        <v>-2.777923234015816</v>
      </c>
      <c r="O9" s="86">
        <v>233455000</v>
      </c>
      <c r="P9" s="147">
        <v>17010000</v>
      </c>
    </row>
    <row r="10" spans="1:16" ht="16.5" customHeight="1">
      <c r="A10" s="75" t="s">
        <v>13</v>
      </c>
      <c r="B10" s="223"/>
      <c r="C10" s="53"/>
      <c r="D10" s="55">
        <v>926158</v>
      </c>
      <c r="E10" s="55">
        <v>944681</v>
      </c>
      <c r="F10" s="152">
        <f>D10-E10</f>
        <v>-18523</v>
      </c>
      <c r="G10" s="162">
        <f t="shared" si="1"/>
        <v>-1.9607677088879711</v>
      </c>
      <c r="H10" s="156"/>
      <c r="I10" s="66"/>
      <c r="J10" s="59" t="s">
        <v>15</v>
      </c>
      <c r="K10" s="54">
        <v>196013</v>
      </c>
      <c r="L10" s="54">
        <v>205977</v>
      </c>
      <c r="M10" s="147">
        <f>K10-L10</f>
        <v>-9964</v>
      </c>
      <c r="N10" s="158">
        <f>(K10/L10%)-100</f>
        <v>-4.8374333056603405</v>
      </c>
      <c r="O10" s="86">
        <v>21068000</v>
      </c>
      <c r="P10" s="55">
        <v>499892960</v>
      </c>
    </row>
    <row r="11" spans="1:16" ht="16.5" customHeight="1">
      <c r="A11" s="234"/>
      <c r="B11" s="65" t="s">
        <v>14</v>
      </c>
      <c r="C11" s="164"/>
      <c r="D11" s="54">
        <v>926158</v>
      </c>
      <c r="E11" s="54">
        <v>944681</v>
      </c>
      <c r="F11" s="151">
        <f t="shared" si="0"/>
        <v>-18523</v>
      </c>
      <c r="G11" s="170">
        <f t="shared" si="1"/>
        <v>-1.9607677088879711</v>
      </c>
      <c r="H11" s="156"/>
      <c r="I11" s="66"/>
      <c r="J11" s="59" t="s">
        <v>179</v>
      </c>
      <c r="K11" s="54"/>
      <c r="L11" s="54">
        <v>0</v>
      </c>
      <c r="M11" s="147">
        <f aca="true" t="shared" si="2" ref="M11:M26">K11-L11</f>
        <v>0</v>
      </c>
      <c r="N11" s="158"/>
      <c r="O11" s="86">
        <v>0</v>
      </c>
      <c r="P11" s="54">
        <v>499892960</v>
      </c>
    </row>
    <row r="12" spans="1:16" ht="16.5" customHeight="1">
      <c r="A12" s="234"/>
      <c r="B12" s="66"/>
      <c r="C12" s="164" t="s">
        <v>184</v>
      </c>
      <c r="D12" s="54">
        <v>926158</v>
      </c>
      <c r="E12" s="54">
        <v>944681</v>
      </c>
      <c r="F12" s="151">
        <f t="shared" si="0"/>
        <v>-18523</v>
      </c>
      <c r="G12" s="170">
        <f t="shared" si="1"/>
        <v>-1.9607677088879711</v>
      </c>
      <c r="H12" s="156"/>
      <c r="I12" s="66"/>
      <c r="J12" s="59" t="s">
        <v>16</v>
      </c>
      <c r="K12" s="54">
        <v>53842</v>
      </c>
      <c r="L12" s="54">
        <v>55821</v>
      </c>
      <c r="M12" s="147">
        <f t="shared" si="2"/>
        <v>-1979</v>
      </c>
      <c r="N12" s="158">
        <f aca="true" t="shared" si="3" ref="N12:N26">(K12/L12%)-100</f>
        <v>-3.545260744164395</v>
      </c>
      <c r="O12" s="86">
        <v>110593440</v>
      </c>
      <c r="P12" s="147">
        <v>499892960</v>
      </c>
    </row>
    <row r="13" spans="1:16" ht="16.5" customHeight="1">
      <c r="A13" s="235"/>
      <c r="B13" s="62"/>
      <c r="C13" s="164" t="s">
        <v>185</v>
      </c>
      <c r="D13" s="54" t="s">
        <v>332</v>
      </c>
      <c r="E13" s="54"/>
      <c r="F13" s="151" t="s">
        <v>332</v>
      </c>
      <c r="G13" s="170"/>
      <c r="H13" s="156"/>
      <c r="I13" s="66"/>
      <c r="J13" s="59" t="s">
        <v>17</v>
      </c>
      <c r="K13" s="54">
        <v>61036</v>
      </c>
      <c r="L13" s="54">
        <v>63363</v>
      </c>
      <c r="M13" s="147">
        <f t="shared" si="2"/>
        <v>-2327</v>
      </c>
      <c r="N13" s="158">
        <f t="shared" si="3"/>
        <v>-3.6724902545649627</v>
      </c>
      <c r="O13" s="86">
        <v>29899620</v>
      </c>
      <c r="P13" s="147">
        <v>0</v>
      </c>
    </row>
    <row r="14" spans="1:16" ht="16.5" customHeight="1">
      <c r="A14" s="75" t="s">
        <v>18</v>
      </c>
      <c r="B14" s="64"/>
      <c r="C14" s="53"/>
      <c r="D14" s="55">
        <v>10000</v>
      </c>
      <c r="E14" s="55">
        <v>8000</v>
      </c>
      <c r="F14" s="152">
        <f aca="true" t="shared" si="4" ref="F14:F20">D14-E14</f>
        <v>2000</v>
      </c>
      <c r="G14" s="162">
        <f aca="true" t="shared" si="5" ref="G14:G24">(D14/E14%)-100</f>
        <v>25</v>
      </c>
      <c r="H14" s="156"/>
      <c r="I14" s="62"/>
      <c r="J14" s="59" t="s">
        <v>19</v>
      </c>
      <c r="K14" s="54">
        <v>2100</v>
      </c>
      <c r="L14" s="54">
        <v>2225</v>
      </c>
      <c r="M14" s="147">
        <f t="shared" si="2"/>
        <v>-125</v>
      </c>
      <c r="N14" s="158">
        <f t="shared" si="3"/>
        <v>-5.617977528089881</v>
      </c>
      <c r="O14" s="86">
        <v>32073490</v>
      </c>
      <c r="P14" s="147">
        <v>0</v>
      </c>
    </row>
    <row r="15" spans="1:16" ht="16.5" customHeight="1">
      <c r="A15" s="74"/>
      <c r="B15" s="67" t="s">
        <v>20</v>
      </c>
      <c r="C15" s="53"/>
      <c r="D15" s="54">
        <v>10000</v>
      </c>
      <c r="E15" s="54">
        <v>8000</v>
      </c>
      <c r="F15" s="151">
        <f t="shared" si="4"/>
        <v>2000</v>
      </c>
      <c r="G15" s="170">
        <f t="shared" si="5"/>
        <v>25</v>
      </c>
      <c r="H15" s="156"/>
      <c r="I15" s="65" t="s">
        <v>21</v>
      </c>
      <c r="J15" s="53"/>
      <c r="K15" s="54">
        <f>SUM(K16:K17)</f>
        <v>2800</v>
      </c>
      <c r="L15" s="54">
        <v>2700</v>
      </c>
      <c r="M15" s="147">
        <f t="shared" si="2"/>
        <v>100</v>
      </c>
      <c r="N15" s="158">
        <f t="shared" si="3"/>
        <v>3.7037037037037095</v>
      </c>
      <c r="O15" s="86">
        <v>1200000</v>
      </c>
      <c r="P15" s="55">
        <v>7000000</v>
      </c>
    </row>
    <row r="16" spans="1:16" ht="16.5" customHeight="1">
      <c r="A16" s="74"/>
      <c r="B16" s="68"/>
      <c r="C16" s="53" t="s">
        <v>22</v>
      </c>
      <c r="D16" s="54">
        <v>5000</v>
      </c>
      <c r="E16" s="54">
        <v>4000</v>
      </c>
      <c r="F16" s="151">
        <f t="shared" si="4"/>
        <v>1000</v>
      </c>
      <c r="G16" s="170">
        <f t="shared" si="5"/>
        <v>25</v>
      </c>
      <c r="H16" s="156"/>
      <c r="I16" s="66"/>
      <c r="J16" s="53" t="s">
        <v>23</v>
      </c>
      <c r="K16" s="54">
        <v>1000</v>
      </c>
      <c r="L16" s="54">
        <v>900</v>
      </c>
      <c r="M16" s="147">
        <f t="shared" si="2"/>
        <v>100</v>
      </c>
      <c r="N16" s="158">
        <f t="shared" si="3"/>
        <v>11.111111111111114</v>
      </c>
      <c r="O16" s="86">
        <v>1650000</v>
      </c>
      <c r="P16" s="54">
        <v>7000000</v>
      </c>
    </row>
    <row r="17" spans="1:16" ht="16.5" customHeight="1">
      <c r="A17" s="60"/>
      <c r="B17" s="63"/>
      <c r="C17" s="53" t="s">
        <v>24</v>
      </c>
      <c r="D17" s="54">
        <v>5000</v>
      </c>
      <c r="E17" s="54">
        <v>4000</v>
      </c>
      <c r="F17" s="151">
        <f t="shared" si="4"/>
        <v>1000</v>
      </c>
      <c r="G17" s="170">
        <f t="shared" si="5"/>
        <v>25</v>
      </c>
      <c r="H17" s="156"/>
      <c r="I17" s="62"/>
      <c r="J17" s="53" t="s">
        <v>25</v>
      </c>
      <c r="K17" s="54">
        <v>1800</v>
      </c>
      <c r="L17" s="54">
        <v>1800</v>
      </c>
      <c r="M17" s="147">
        <f t="shared" si="2"/>
        <v>0</v>
      </c>
      <c r="N17" s="158">
        <f t="shared" si="3"/>
        <v>0</v>
      </c>
      <c r="O17" s="86">
        <v>550000</v>
      </c>
      <c r="P17" s="147">
        <v>3000000</v>
      </c>
    </row>
    <row r="18" spans="1:16" ht="16.5" customHeight="1">
      <c r="A18" s="75" t="s">
        <v>29</v>
      </c>
      <c r="B18" s="64"/>
      <c r="C18" s="53"/>
      <c r="D18" s="55">
        <f>D19</f>
        <v>0</v>
      </c>
      <c r="E18" s="55">
        <v>0</v>
      </c>
      <c r="F18" s="151">
        <f t="shared" si="4"/>
        <v>0</v>
      </c>
      <c r="G18" s="170"/>
      <c r="H18" s="156"/>
      <c r="I18" s="66" t="s">
        <v>26</v>
      </c>
      <c r="J18" s="53"/>
      <c r="K18" s="54">
        <f>SUM(K19:K24)</f>
        <v>48136</v>
      </c>
      <c r="L18" s="54">
        <f>SUM(L19:L24)</f>
        <v>44416</v>
      </c>
      <c r="M18" s="147">
        <f t="shared" si="2"/>
        <v>3720</v>
      </c>
      <c r="N18" s="158">
        <f t="shared" si="3"/>
        <v>8.375360230547543</v>
      </c>
      <c r="O18" s="86">
        <v>1100000</v>
      </c>
      <c r="P18" s="147">
        <v>4000000</v>
      </c>
    </row>
    <row r="19" spans="1:16" ht="15" customHeight="1">
      <c r="A19" s="234"/>
      <c r="B19" s="65" t="s">
        <v>31</v>
      </c>
      <c r="C19" s="164"/>
      <c r="D19" s="54">
        <f>D20</f>
        <v>0</v>
      </c>
      <c r="E19" s="54">
        <v>0</v>
      </c>
      <c r="F19" s="151">
        <f t="shared" si="4"/>
        <v>0</v>
      </c>
      <c r="G19" s="170"/>
      <c r="H19" s="156"/>
      <c r="I19" s="66"/>
      <c r="J19" s="53" t="s">
        <v>27</v>
      </c>
      <c r="K19" s="54">
        <v>4600</v>
      </c>
      <c r="L19" s="54">
        <v>4600</v>
      </c>
      <c r="M19" s="147">
        <f t="shared" si="2"/>
        <v>0</v>
      </c>
      <c r="N19" s="158">
        <f t="shared" si="3"/>
        <v>0</v>
      </c>
      <c r="P19" s="147"/>
    </row>
    <row r="20" spans="1:16" ht="15" customHeight="1">
      <c r="A20" s="234"/>
      <c r="B20" s="66"/>
      <c r="C20" s="164" t="s">
        <v>33</v>
      </c>
      <c r="D20" s="54">
        <v>0</v>
      </c>
      <c r="E20" s="54">
        <v>0</v>
      </c>
      <c r="F20" s="151">
        <f t="shared" si="4"/>
        <v>0</v>
      </c>
      <c r="G20" s="170"/>
      <c r="H20" s="156"/>
      <c r="I20" s="66"/>
      <c r="J20" s="53" t="s">
        <v>28</v>
      </c>
      <c r="K20" s="54">
        <v>14780</v>
      </c>
      <c r="L20" s="54">
        <v>15356</v>
      </c>
      <c r="M20" s="147">
        <f t="shared" si="2"/>
        <v>-576</v>
      </c>
      <c r="N20" s="158">
        <f t="shared" si="3"/>
        <v>-3.750976816879401</v>
      </c>
      <c r="P20" s="147"/>
    </row>
    <row r="21" spans="1:16" ht="15" customHeight="1">
      <c r="A21" s="234"/>
      <c r="B21" s="62"/>
      <c r="C21" s="161" t="s">
        <v>186</v>
      </c>
      <c r="D21" s="89"/>
      <c r="E21" s="89"/>
      <c r="F21" s="151">
        <f>D21-E21</f>
        <v>0</v>
      </c>
      <c r="G21" s="170"/>
      <c r="H21" s="156"/>
      <c r="I21" s="66"/>
      <c r="J21" s="53" t="s">
        <v>30</v>
      </c>
      <c r="K21" s="54">
        <v>8286</v>
      </c>
      <c r="L21" s="54">
        <v>5160</v>
      </c>
      <c r="M21" s="147">
        <f t="shared" si="2"/>
        <v>3126</v>
      </c>
      <c r="N21" s="158">
        <f t="shared" si="3"/>
        <v>60.58139534883719</v>
      </c>
      <c r="P21" s="147"/>
    </row>
    <row r="22" spans="1:16" ht="15" customHeight="1">
      <c r="A22" s="75" t="s">
        <v>35</v>
      </c>
      <c r="B22" s="64"/>
      <c r="C22" s="53"/>
      <c r="D22" s="152">
        <f>D23</f>
        <v>77000</v>
      </c>
      <c r="E22" s="152">
        <v>53000</v>
      </c>
      <c r="F22" s="151">
        <f>D22-E22</f>
        <v>24000</v>
      </c>
      <c r="G22" s="170">
        <f t="shared" si="5"/>
        <v>45.28301886792454</v>
      </c>
      <c r="H22" s="156"/>
      <c r="I22" s="66"/>
      <c r="J22" s="53" t="s">
        <v>32</v>
      </c>
      <c r="K22" s="54">
        <v>2820</v>
      </c>
      <c r="L22" s="54">
        <v>3100</v>
      </c>
      <c r="M22" s="147">
        <f t="shared" si="2"/>
        <v>-280</v>
      </c>
      <c r="N22" s="158">
        <f t="shared" si="3"/>
        <v>-9.032258064516128</v>
      </c>
      <c r="P22" s="147"/>
    </row>
    <row r="23" spans="1:16" ht="18.75" customHeight="1">
      <c r="A23" s="74"/>
      <c r="B23" s="67" t="s">
        <v>36</v>
      </c>
      <c r="C23" s="53"/>
      <c r="D23" s="54">
        <v>77000</v>
      </c>
      <c r="E23" s="54">
        <v>53000</v>
      </c>
      <c r="F23" s="151">
        <f>D23-E23</f>
        <v>24000</v>
      </c>
      <c r="G23" s="170">
        <f t="shared" si="5"/>
        <v>45.28301886792454</v>
      </c>
      <c r="H23" s="156"/>
      <c r="I23" s="66"/>
      <c r="J23" s="53" t="s">
        <v>34</v>
      </c>
      <c r="K23" s="54">
        <v>13500</v>
      </c>
      <c r="L23" s="54">
        <v>12400</v>
      </c>
      <c r="M23" s="147">
        <f t="shared" si="2"/>
        <v>1100</v>
      </c>
      <c r="N23" s="158">
        <f t="shared" si="3"/>
        <v>8.870967741935488</v>
      </c>
      <c r="O23" s="86">
        <v>19050000</v>
      </c>
      <c r="P23" s="148">
        <v>0</v>
      </c>
    </row>
    <row r="24" spans="1:16" ht="18.75" customHeight="1">
      <c r="A24" s="74"/>
      <c r="B24" s="62"/>
      <c r="C24" s="53" t="s">
        <v>38</v>
      </c>
      <c r="D24" s="54">
        <v>77000</v>
      </c>
      <c r="E24" s="54">
        <v>53000</v>
      </c>
      <c r="F24" s="151">
        <f aca="true" t="shared" si="6" ref="F24:F29">D24-E24</f>
        <v>24000</v>
      </c>
      <c r="G24" s="170">
        <f t="shared" si="5"/>
        <v>45.28301886792454</v>
      </c>
      <c r="H24" s="156"/>
      <c r="I24" s="62"/>
      <c r="J24" s="53" t="s">
        <v>330</v>
      </c>
      <c r="K24" s="54">
        <v>4150</v>
      </c>
      <c r="L24" s="54">
        <v>3800</v>
      </c>
      <c r="M24" s="147">
        <f>K24-L24</f>
        <v>350</v>
      </c>
      <c r="N24" s="158">
        <f>(K24/L24%)-100</f>
        <v>9.21052631578948</v>
      </c>
      <c r="O24" s="86">
        <v>19050000</v>
      </c>
      <c r="P24" s="148">
        <v>0</v>
      </c>
    </row>
    <row r="25" spans="1:16" ht="18.75" customHeight="1">
      <c r="A25" s="75" t="s">
        <v>187</v>
      </c>
      <c r="B25" s="64"/>
      <c r="C25" s="53"/>
      <c r="D25" s="55">
        <f>D26</f>
        <v>13362</v>
      </c>
      <c r="E25" s="55">
        <v>10547</v>
      </c>
      <c r="F25" s="152">
        <f t="shared" si="6"/>
        <v>2815</v>
      </c>
      <c r="G25" s="162">
        <f>(D25/E25%)-100</f>
        <v>26.690054043803926</v>
      </c>
      <c r="H25" s="412" t="s">
        <v>180</v>
      </c>
      <c r="I25" s="64"/>
      <c r="J25" s="53"/>
      <c r="K25" s="55">
        <f>K26</f>
        <v>36670</v>
      </c>
      <c r="L25" s="55">
        <f>L26</f>
        <v>36100</v>
      </c>
      <c r="M25" s="148">
        <f t="shared" si="2"/>
        <v>570</v>
      </c>
      <c r="N25" s="158">
        <f t="shared" si="3"/>
        <v>1.5789473684210549</v>
      </c>
      <c r="O25" s="86">
        <v>1650000</v>
      </c>
      <c r="P25" s="147">
        <v>0</v>
      </c>
    </row>
    <row r="26" spans="1:16" ht="18.75" customHeight="1">
      <c r="A26" s="74"/>
      <c r="B26" s="65" t="s">
        <v>188</v>
      </c>
      <c r="C26" s="164"/>
      <c r="D26" s="54">
        <v>13362</v>
      </c>
      <c r="E26" s="54">
        <v>10547</v>
      </c>
      <c r="F26" s="151">
        <f t="shared" si="6"/>
        <v>2815</v>
      </c>
      <c r="G26" s="170">
        <f>(D26/E26%)-100</f>
        <v>26.690054043803926</v>
      </c>
      <c r="H26" s="413"/>
      <c r="I26" s="67" t="s">
        <v>37</v>
      </c>
      <c r="J26" s="53"/>
      <c r="K26" s="54">
        <f>SUM(K27:K29)</f>
        <v>36670</v>
      </c>
      <c r="L26" s="54">
        <f>SUM(L27:L29)</f>
        <v>36100</v>
      </c>
      <c r="M26" s="147">
        <f t="shared" si="2"/>
        <v>570</v>
      </c>
      <c r="N26" s="158">
        <f t="shared" si="3"/>
        <v>1.5789473684210549</v>
      </c>
      <c r="O26" s="86">
        <v>5500000</v>
      </c>
      <c r="P26" s="147">
        <v>0</v>
      </c>
    </row>
    <row r="27" spans="1:16" ht="18.75" customHeight="1">
      <c r="A27" s="74"/>
      <c r="B27" s="66"/>
      <c r="C27" s="53" t="s">
        <v>41</v>
      </c>
      <c r="D27" s="54">
        <v>200</v>
      </c>
      <c r="E27" s="54">
        <v>200</v>
      </c>
      <c r="F27" s="54">
        <f t="shared" si="6"/>
        <v>0</v>
      </c>
      <c r="G27" s="170"/>
      <c r="H27" s="161"/>
      <c r="I27" s="165"/>
      <c r="J27" s="53" t="s">
        <v>37</v>
      </c>
      <c r="K27" s="54"/>
      <c r="L27" s="54"/>
      <c r="M27" s="147">
        <f aca="true" t="shared" si="7" ref="M27:M60">K27-L27</f>
        <v>0</v>
      </c>
      <c r="N27" s="158"/>
      <c r="O27" s="86">
        <v>2200000</v>
      </c>
      <c r="P27" s="147">
        <v>0</v>
      </c>
    </row>
    <row r="28" spans="1:16" ht="18.75" customHeight="1">
      <c r="A28" s="74"/>
      <c r="B28" s="66"/>
      <c r="C28" s="166" t="s">
        <v>43</v>
      </c>
      <c r="D28" s="151">
        <v>162</v>
      </c>
      <c r="E28" s="151">
        <v>247</v>
      </c>
      <c r="F28" s="151">
        <f t="shared" si="6"/>
        <v>-85</v>
      </c>
      <c r="G28" s="170">
        <f>(D28/E28%)-100</f>
        <v>-34.412955465587046</v>
      </c>
      <c r="H28" s="71"/>
      <c r="I28" s="68"/>
      <c r="J28" s="53" t="s">
        <v>39</v>
      </c>
      <c r="K28" s="54">
        <v>13000</v>
      </c>
      <c r="L28" s="54">
        <v>27500</v>
      </c>
      <c r="M28" s="147">
        <f t="shared" si="7"/>
        <v>-14500</v>
      </c>
      <c r="N28" s="158">
        <f>(K28/L28%)-100</f>
        <v>-52.72727272727273</v>
      </c>
      <c r="O28" s="86">
        <v>3100000</v>
      </c>
      <c r="P28" s="148">
        <v>5000000</v>
      </c>
    </row>
    <row r="29" spans="1:16" ht="18.75" customHeight="1" thickBot="1">
      <c r="A29" s="393"/>
      <c r="B29" s="226"/>
      <c r="C29" s="227" t="s">
        <v>45</v>
      </c>
      <c r="D29" s="228">
        <v>13000</v>
      </c>
      <c r="E29" s="228">
        <v>10100</v>
      </c>
      <c r="F29" s="392">
        <f t="shared" si="6"/>
        <v>2900</v>
      </c>
      <c r="G29" s="394">
        <f>(D29/E29%)-100</f>
        <v>28.712871287128706</v>
      </c>
      <c r="H29" s="395"/>
      <c r="I29" s="396"/>
      <c r="J29" s="391" t="s">
        <v>40</v>
      </c>
      <c r="K29" s="228">
        <v>23670</v>
      </c>
      <c r="L29" s="228">
        <v>8600</v>
      </c>
      <c r="M29" s="149">
        <f t="shared" si="7"/>
        <v>15070</v>
      </c>
      <c r="N29" s="175">
        <f aca="true" t="shared" si="8" ref="N29:N36">(K29/L29%)-100</f>
        <v>175.2325581395349</v>
      </c>
      <c r="O29" s="86">
        <v>6600000</v>
      </c>
      <c r="P29" s="147">
        <v>5000000</v>
      </c>
    </row>
    <row r="30" spans="1:16" ht="18.75" customHeight="1">
      <c r="A30" s="414"/>
      <c r="B30" s="397"/>
      <c r="C30" s="398"/>
      <c r="D30" s="399"/>
      <c r="E30" s="399"/>
      <c r="F30" s="399"/>
      <c r="G30" s="400"/>
      <c r="H30" s="401" t="s">
        <v>6</v>
      </c>
      <c r="I30" s="62"/>
      <c r="J30" s="62"/>
      <c r="K30" s="152">
        <f>K31+K42+K48</f>
        <v>170852</v>
      </c>
      <c r="L30" s="152">
        <f>L31+L42+L48</f>
        <v>145360</v>
      </c>
      <c r="M30" s="159">
        <f t="shared" si="7"/>
        <v>25492</v>
      </c>
      <c r="N30" s="158">
        <f t="shared" si="8"/>
        <v>17.537149146945524</v>
      </c>
      <c r="O30" s="86">
        <v>1900000</v>
      </c>
      <c r="P30" s="147">
        <v>5000000</v>
      </c>
    </row>
    <row r="31" spans="1:16" ht="18.75" customHeight="1">
      <c r="A31" s="415"/>
      <c r="B31" s="218"/>
      <c r="C31" s="218"/>
      <c r="D31" s="218"/>
      <c r="E31" s="218"/>
      <c r="F31" s="218"/>
      <c r="G31" s="219"/>
      <c r="H31" s="71"/>
      <c r="I31" s="53" t="s">
        <v>26</v>
      </c>
      <c r="J31" s="164"/>
      <c r="K31" s="54">
        <f>K32+K33+K34+K35+K40+K41</f>
        <v>137543</v>
      </c>
      <c r="L31" s="54">
        <f>L32+L33+L34+L35+L40+L41</f>
        <v>120830</v>
      </c>
      <c r="M31" s="147">
        <f t="shared" si="7"/>
        <v>16713</v>
      </c>
      <c r="N31" s="220">
        <f t="shared" si="8"/>
        <v>13.8318298435819</v>
      </c>
      <c r="O31" s="86">
        <v>1900000</v>
      </c>
      <c r="P31" s="148">
        <v>0</v>
      </c>
    </row>
    <row r="32" spans="1:16" ht="18.75" customHeight="1">
      <c r="A32" s="415"/>
      <c r="B32" s="218"/>
      <c r="C32" s="218"/>
      <c r="D32" s="218"/>
      <c r="E32" s="218"/>
      <c r="F32" s="218"/>
      <c r="G32" s="219"/>
      <c r="H32" s="168"/>
      <c r="I32" s="66"/>
      <c r="J32" s="62" t="s">
        <v>44</v>
      </c>
      <c r="K32" s="151">
        <v>83093</v>
      </c>
      <c r="L32" s="151">
        <v>69030</v>
      </c>
      <c r="M32" s="151">
        <f t="shared" si="7"/>
        <v>14063</v>
      </c>
      <c r="N32" s="158">
        <f t="shared" si="8"/>
        <v>20.372301897725634</v>
      </c>
      <c r="O32" s="86">
        <v>0</v>
      </c>
      <c r="P32" s="147">
        <v>0</v>
      </c>
    </row>
    <row r="33" spans="1:16" ht="18.75" customHeight="1">
      <c r="A33" s="415"/>
      <c r="B33" s="165"/>
      <c r="C33" s="165"/>
      <c r="D33" s="165"/>
      <c r="E33" s="389"/>
      <c r="F33" s="389"/>
      <c r="G33" s="161"/>
      <c r="H33" s="390"/>
      <c r="I33" s="165"/>
      <c r="J33" s="166" t="s">
        <v>46</v>
      </c>
      <c r="K33" s="151">
        <v>8400</v>
      </c>
      <c r="L33" s="151">
        <v>8400</v>
      </c>
      <c r="M33" s="167">
        <f t="shared" si="7"/>
        <v>0</v>
      </c>
      <c r="N33" s="158">
        <f t="shared" si="8"/>
        <v>0</v>
      </c>
      <c r="O33" s="86">
        <v>800000</v>
      </c>
      <c r="P33" s="147">
        <v>0</v>
      </c>
    </row>
    <row r="34" spans="1:16" ht="18.75" customHeight="1">
      <c r="A34" s="415"/>
      <c r="B34" s="165"/>
      <c r="C34" s="161"/>
      <c r="D34" s="165"/>
      <c r="E34" s="161"/>
      <c r="F34" s="165"/>
      <c r="G34" s="161"/>
      <c r="H34" s="71"/>
      <c r="I34" s="66"/>
      <c r="J34" s="166" t="s">
        <v>3</v>
      </c>
      <c r="K34" s="151">
        <v>7800</v>
      </c>
      <c r="L34" s="151">
        <v>6000</v>
      </c>
      <c r="M34" s="167">
        <f t="shared" si="7"/>
        <v>1800</v>
      </c>
      <c r="N34" s="158">
        <f t="shared" si="8"/>
        <v>30</v>
      </c>
      <c r="O34" s="86">
        <v>1100000</v>
      </c>
      <c r="P34" s="147">
        <v>0</v>
      </c>
    </row>
    <row r="35" spans="1:16" ht="18.75" customHeight="1">
      <c r="A35" s="415"/>
      <c r="B35" s="218"/>
      <c r="C35" s="218"/>
      <c r="D35" s="218"/>
      <c r="E35" s="218"/>
      <c r="F35" s="218"/>
      <c r="G35" s="218"/>
      <c r="H35" s="221"/>
      <c r="I35" s="165"/>
      <c r="J35" s="166" t="s">
        <v>47</v>
      </c>
      <c r="K35" s="151">
        <v>2700</v>
      </c>
      <c r="L35" s="151">
        <v>2000</v>
      </c>
      <c r="M35" s="167">
        <f t="shared" si="7"/>
        <v>700</v>
      </c>
      <c r="N35" s="158">
        <f t="shared" si="8"/>
        <v>35</v>
      </c>
      <c r="O35" s="86">
        <v>83040930</v>
      </c>
      <c r="P35" s="55">
        <v>6097040</v>
      </c>
    </row>
    <row r="36" spans="1:16" ht="16.5" customHeight="1" hidden="1">
      <c r="A36" s="415"/>
      <c r="B36" s="165"/>
      <c r="C36" s="165"/>
      <c r="D36" s="165"/>
      <c r="E36" s="165"/>
      <c r="F36" s="218"/>
      <c r="G36" s="218"/>
      <c r="H36" s="168"/>
      <c r="I36" s="66"/>
      <c r="J36" s="166" t="s">
        <v>48</v>
      </c>
      <c r="K36" s="151" t="e">
        <f>#REF!</f>
        <v>#REF!</v>
      </c>
      <c r="L36" s="151">
        <v>600</v>
      </c>
      <c r="M36" s="167" t="e">
        <f t="shared" si="7"/>
        <v>#REF!</v>
      </c>
      <c r="N36" s="158" t="e">
        <f t="shared" si="8"/>
        <v>#REF!</v>
      </c>
      <c r="O36" s="86">
        <v>69510930</v>
      </c>
      <c r="P36" s="54">
        <v>6097040</v>
      </c>
    </row>
    <row r="37" spans="1:16" ht="16.5" customHeight="1" hidden="1" thickBot="1">
      <c r="A37" s="415"/>
      <c r="B37" s="165"/>
      <c r="C37" s="165"/>
      <c r="D37" s="165"/>
      <c r="E37" s="165"/>
      <c r="F37" s="218"/>
      <c r="G37" s="218"/>
      <c r="H37" s="168"/>
      <c r="I37" s="66"/>
      <c r="J37" s="164" t="s">
        <v>49</v>
      </c>
      <c r="K37" s="54" t="e">
        <f>#REF!</f>
        <v>#REF!</v>
      </c>
      <c r="L37" s="54">
        <v>0</v>
      </c>
      <c r="M37" s="147" t="e">
        <f t="shared" si="7"/>
        <v>#REF!</v>
      </c>
      <c r="N37" s="158"/>
      <c r="O37" s="86">
        <v>42390930</v>
      </c>
      <c r="P37" s="149">
        <v>0</v>
      </c>
    </row>
    <row r="38" spans="1:16" ht="16.5" customHeight="1" hidden="1">
      <c r="A38" s="415"/>
      <c r="B38" s="165"/>
      <c r="C38" s="165"/>
      <c r="D38" s="165"/>
      <c r="E38" s="165"/>
      <c r="F38" s="218"/>
      <c r="G38" s="218"/>
      <c r="H38" s="168"/>
      <c r="I38" s="66"/>
      <c r="J38" s="164" t="s">
        <v>50</v>
      </c>
      <c r="K38" s="54" t="e">
        <f>#REF!</f>
        <v>#REF!</v>
      </c>
      <c r="L38" s="54">
        <v>0</v>
      </c>
      <c r="M38" s="147" t="e">
        <f t="shared" si="7"/>
        <v>#REF!</v>
      </c>
      <c r="N38" s="158"/>
      <c r="O38" s="86">
        <v>3300000</v>
      </c>
      <c r="P38" s="150">
        <v>297040</v>
      </c>
    </row>
    <row r="39" spans="1:16" ht="16.5" customHeight="1" hidden="1">
      <c r="A39" s="415"/>
      <c r="B39" s="165"/>
      <c r="C39" s="165"/>
      <c r="D39" s="165"/>
      <c r="E39" s="165"/>
      <c r="F39" s="218"/>
      <c r="G39" s="218"/>
      <c r="H39" s="168"/>
      <c r="I39" s="66"/>
      <c r="J39" s="164" t="s">
        <v>51</v>
      </c>
      <c r="K39" s="54" t="e">
        <f>#REF!</f>
        <v>#REF!</v>
      </c>
      <c r="L39" s="54">
        <v>0</v>
      </c>
      <c r="M39" s="147" t="e">
        <f t="shared" si="7"/>
        <v>#REF!</v>
      </c>
      <c r="N39" s="158"/>
      <c r="O39" s="86">
        <v>3220000</v>
      </c>
      <c r="P39" s="147">
        <v>5800000</v>
      </c>
    </row>
    <row r="40" spans="1:16" ht="18.75" customHeight="1">
      <c r="A40" s="415"/>
      <c r="B40" s="218"/>
      <c r="C40" s="218"/>
      <c r="D40" s="218"/>
      <c r="E40" s="218"/>
      <c r="F40" s="218"/>
      <c r="G40" s="218"/>
      <c r="H40" s="221"/>
      <c r="I40" s="165"/>
      <c r="J40" s="166" t="s">
        <v>157</v>
      </c>
      <c r="K40" s="151">
        <v>750</v>
      </c>
      <c r="L40" s="151">
        <v>600</v>
      </c>
      <c r="M40" s="167">
        <f>K40-L40</f>
        <v>150</v>
      </c>
      <c r="N40" s="158">
        <f>(K40/L40%)-100</f>
        <v>25</v>
      </c>
      <c r="O40" s="86">
        <v>83040930</v>
      </c>
      <c r="P40" s="55">
        <v>6097040</v>
      </c>
    </row>
    <row r="41" spans="1:15" ht="16.5" customHeight="1">
      <c r="A41" s="415"/>
      <c r="B41" s="165"/>
      <c r="C41" s="165"/>
      <c r="D41" s="165"/>
      <c r="E41" s="165"/>
      <c r="F41" s="218"/>
      <c r="G41" s="218"/>
      <c r="H41" s="168"/>
      <c r="I41" s="62"/>
      <c r="J41" s="164" t="s">
        <v>52</v>
      </c>
      <c r="K41" s="54">
        <v>34800</v>
      </c>
      <c r="L41" s="54">
        <v>34800</v>
      </c>
      <c r="M41" s="147">
        <f t="shared" si="7"/>
        <v>0</v>
      </c>
      <c r="N41" s="158">
        <f>(K41/L41%)-100</f>
        <v>0</v>
      </c>
      <c r="O41" s="86">
        <v>1100000</v>
      </c>
    </row>
    <row r="42" spans="1:15" ht="16.5" customHeight="1">
      <c r="A42" s="415"/>
      <c r="B42" s="66"/>
      <c r="C42" s="66"/>
      <c r="D42" s="66"/>
      <c r="E42" s="66"/>
      <c r="F42" s="68"/>
      <c r="G42" s="68"/>
      <c r="H42" s="71"/>
      <c r="I42" s="67" t="s">
        <v>53</v>
      </c>
      <c r="J42" s="53"/>
      <c r="K42" s="54">
        <f>SUM(K43:K44)</f>
        <v>1880</v>
      </c>
      <c r="L42" s="54">
        <f>SUM(L43:L44)</f>
        <v>1080</v>
      </c>
      <c r="M42" s="147">
        <f t="shared" si="7"/>
        <v>800</v>
      </c>
      <c r="N42" s="158">
        <f>(K42/L42%)-100</f>
        <v>74.07407407407408</v>
      </c>
      <c r="O42" s="86">
        <v>600000</v>
      </c>
    </row>
    <row r="43" spans="1:15" ht="16.5" customHeight="1">
      <c r="A43" s="415"/>
      <c r="B43" s="66"/>
      <c r="C43" s="66"/>
      <c r="D43" s="66"/>
      <c r="E43" s="66"/>
      <c r="F43" s="66"/>
      <c r="G43" s="64"/>
      <c r="H43" s="71"/>
      <c r="I43" s="68"/>
      <c r="J43" s="53" t="s">
        <v>54</v>
      </c>
      <c r="K43" s="54">
        <v>680</v>
      </c>
      <c r="L43" s="54">
        <v>680</v>
      </c>
      <c r="M43" s="147">
        <f t="shared" si="7"/>
        <v>0</v>
      </c>
      <c r="N43" s="158">
        <f>(K43/L43%)-100</f>
        <v>0</v>
      </c>
      <c r="O43" s="86">
        <v>0</v>
      </c>
    </row>
    <row r="44" spans="1:15" ht="16.5" customHeight="1">
      <c r="A44" s="415"/>
      <c r="B44" s="66"/>
      <c r="C44" s="66"/>
      <c r="D44" s="66"/>
      <c r="E44" s="66"/>
      <c r="F44" s="66"/>
      <c r="G44" s="64"/>
      <c r="H44" s="71"/>
      <c r="I44" s="68"/>
      <c r="J44" s="53" t="s">
        <v>55</v>
      </c>
      <c r="K44" s="54">
        <v>1200</v>
      </c>
      <c r="L44" s="54">
        <v>400</v>
      </c>
      <c r="M44" s="147">
        <f t="shared" si="7"/>
        <v>800</v>
      </c>
      <c r="N44" s="158">
        <f>(K44/L44%)-100</f>
        <v>200</v>
      </c>
      <c r="O44" s="86">
        <v>0</v>
      </c>
    </row>
    <row r="45" spans="1:15" ht="16.5" customHeight="1" hidden="1">
      <c r="A45" s="415"/>
      <c r="B45" s="66"/>
      <c r="C45" s="66"/>
      <c r="D45" s="66"/>
      <c r="E45" s="66"/>
      <c r="F45" s="66"/>
      <c r="G45" s="64"/>
      <c r="H45" s="71"/>
      <c r="I45" s="68"/>
      <c r="J45" s="53" t="s">
        <v>56</v>
      </c>
      <c r="K45" s="54" t="e">
        <f>#REF!</f>
        <v>#REF!</v>
      </c>
      <c r="L45" s="54">
        <v>0</v>
      </c>
      <c r="M45" s="147" t="e">
        <f t="shared" si="7"/>
        <v>#REF!</v>
      </c>
      <c r="N45" s="158"/>
      <c r="O45" s="86">
        <v>2000000</v>
      </c>
    </row>
    <row r="46" spans="1:15" ht="16.5" customHeight="1" hidden="1">
      <c r="A46" s="415"/>
      <c r="B46" s="66"/>
      <c r="C46" s="66"/>
      <c r="D46" s="66"/>
      <c r="E46" s="66"/>
      <c r="F46" s="66"/>
      <c r="G46" s="64"/>
      <c r="H46" s="71"/>
      <c r="I46" s="68"/>
      <c r="J46" s="53" t="s">
        <v>57</v>
      </c>
      <c r="K46" s="54" t="e">
        <f>#REF!</f>
        <v>#REF!</v>
      </c>
      <c r="L46" s="54">
        <v>0</v>
      </c>
      <c r="M46" s="147" t="e">
        <f t="shared" si="7"/>
        <v>#REF!</v>
      </c>
      <c r="N46" s="158"/>
      <c r="O46" s="86">
        <v>16900000</v>
      </c>
    </row>
    <row r="47" spans="1:15" ht="18.75" customHeight="1" hidden="1">
      <c r="A47" s="415"/>
      <c r="B47" s="66"/>
      <c r="C47" s="66"/>
      <c r="D47" s="66"/>
      <c r="E47" s="66"/>
      <c r="F47" s="66"/>
      <c r="G47" s="64"/>
      <c r="H47" s="71"/>
      <c r="I47" s="41"/>
      <c r="J47" s="52" t="s">
        <v>58</v>
      </c>
      <c r="K47" s="56" t="e">
        <f>#REF!</f>
        <v>#REF!</v>
      </c>
      <c r="L47" s="56">
        <v>0</v>
      </c>
      <c r="M47" s="147" t="e">
        <f t="shared" si="7"/>
        <v>#REF!</v>
      </c>
      <c r="N47" s="158"/>
      <c r="O47" s="86">
        <v>0</v>
      </c>
    </row>
    <row r="48" spans="1:15" ht="18.75" customHeight="1">
      <c r="A48" s="415"/>
      <c r="B48" s="66"/>
      <c r="C48" s="66"/>
      <c r="D48" s="66"/>
      <c r="E48" s="66"/>
      <c r="F48" s="66"/>
      <c r="G48" s="64"/>
      <c r="H48" s="72"/>
      <c r="I48" s="232" t="s">
        <v>42</v>
      </c>
      <c r="J48" s="52"/>
      <c r="K48" s="56">
        <v>31429</v>
      </c>
      <c r="L48" s="56">
        <v>23450</v>
      </c>
      <c r="M48" s="147">
        <f t="shared" si="7"/>
        <v>7979</v>
      </c>
      <c r="N48" s="158">
        <f aca="true" t="shared" si="9" ref="N48:N66">(K48/L48%)-100</f>
        <v>34.02558635394456</v>
      </c>
      <c r="O48" s="86">
        <v>0</v>
      </c>
    </row>
    <row r="49" spans="1:15" ht="18.75" customHeight="1">
      <c r="A49" s="415"/>
      <c r="B49" s="66"/>
      <c r="C49" s="66"/>
      <c r="D49" s="66"/>
      <c r="E49" s="66"/>
      <c r="F49" s="66"/>
      <c r="G49" s="64"/>
      <c r="H49" s="72"/>
      <c r="I49" s="217"/>
      <c r="J49" s="52" t="s">
        <v>59</v>
      </c>
      <c r="K49" s="56">
        <v>7430</v>
      </c>
      <c r="L49" s="56">
        <v>7230</v>
      </c>
      <c r="M49" s="147">
        <f t="shared" si="7"/>
        <v>200</v>
      </c>
      <c r="N49" s="158">
        <f t="shared" si="9"/>
        <v>2.766251728907335</v>
      </c>
      <c r="O49" s="86">
        <v>0</v>
      </c>
    </row>
    <row r="50" spans="1:15" ht="18.75" customHeight="1">
      <c r="A50" s="415"/>
      <c r="B50" s="66"/>
      <c r="C50" s="66"/>
      <c r="D50" s="66"/>
      <c r="E50" s="66"/>
      <c r="F50" s="66"/>
      <c r="G50" s="64"/>
      <c r="H50" s="72"/>
      <c r="I50" s="217"/>
      <c r="J50" s="52" t="s">
        <v>60</v>
      </c>
      <c r="K50" s="56">
        <v>17618</v>
      </c>
      <c r="L50" s="56">
        <v>15335</v>
      </c>
      <c r="M50" s="147">
        <f t="shared" si="7"/>
        <v>2283</v>
      </c>
      <c r="N50" s="158">
        <f t="shared" si="9"/>
        <v>14.887512226931861</v>
      </c>
      <c r="O50" s="86">
        <v>0</v>
      </c>
    </row>
    <row r="51" spans="1:15" ht="18.75" customHeight="1">
      <c r="A51" s="415"/>
      <c r="B51" s="66"/>
      <c r="C51" s="66"/>
      <c r="D51" s="66"/>
      <c r="E51" s="66"/>
      <c r="F51" s="66"/>
      <c r="G51" s="64"/>
      <c r="H51" s="72"/>
      <c r="I51" s="217"/>
      <c r="J51" s="52" t="s">
        <v>61</v>
      </c>
      <c r="K51" s="56">
        <v>1170</v>
      </c>
      <c r="L51" s="56">
        <v>385</v>
      </c>
      <c r="M51" s="147">
        <f t="shared" si="7"/>
        <v>785</v>
      </c>
      <c r="N51" s="158">
        <f t="shared" si="9"/>
        <v>203.8961038961039</v>
      </c>
      <c r="O51" s="86">
        <v>0</v>
      </c>
    </row>
    <row r="52" spans="1:15" ht="18.75" customHeight="1">
      <c r="A52" s="415"/>
      <c r="B52" s="66"/>
      <c r="C52" s="66"/>
      <c r="D52" s="66"/>
      <c r="E52" s="66"/>
      <c r="F52" s="66"/>
      <c r="G52" s="64"/>
      <c r="H52" s="72"/>
      <c r="I52" s="217"/>
      <c r="J52" s="52" t="s">
        <v>62</v>
      </c>
      <c r="K52" s="56">
        <v>1211</v>
      </c>
      <c r="L52" s="56">
        <v>500</v>
      </c>
      <c r="M52" s="147">
        <f t="shared" si="7"/>
        <v>711</v>
      </c>
      <c r="N52" s="158">
        <f t="shared" si="9"/>
        <v>142.2</v>
      </c>
      <c r="O52" s="86">
        <v>0</v>
      </c>
    </row>
    <row r="53" spans="1:15" ht="16.5" customHeight="1" hidden="1">
      <c r="A53" s="415"/>
      <c r="B53" s="66"/>
      <c r="C53" s="66"/>
      <c r="D53" s="66"/>
      <c r="E53" s="66"/>
      <c r="F53" s="66"/>
      <c r="G53" s="64"/>
      <c r="H53" s="169"/>
      <c r="I53" s="61"/>
      <c r="J53" s="46" t="s">
        <v>63</v>
      </c>
      <c r="K53" s="56" t="e">
        <f>#REF!</f>
        <v>#REF!</v>
      </c>
      <c r="L53" s="56" t="e">
        <v>#REF!</v>
      </c>
      <c r="M53" s="147" t="e">
        <f t="shared" si="7"/>
        <v>#REF!</v>
      </c>
      <c r="N53" s="158" t="e">
        <f t="shared" si="9"/>
        <v>#REF!</v>
      </c>
      <c r="O53" s="86">
        <v>13530000</v>
      </c>
    </row>
    <row r="54" spans="1:15" ht="16.5" customHeight="1" hidden="1">
      <c r="A54" s="415"/>
      <c r="B54" s="42"/>
      <c r="C54" s="42"/>
      <c r="D54" s="42"/>
      <c r="E54" s="42"/>
      <c r="F54" s="42"/>
      <c r="G54" s="223"/>
      <c r="H54" s="73" t="s">
        <v>71</v>
      </c>
      <c r="I54" s="89"/>
      <c r="J54" s="89"/>
      <c r="K54" s="58" t="e">
        <f>K55+K56</f>
        <v>#REF!</v>
      </c>
      <c r="L54" s="58">
        <v>0</v>
      </c>
      <c r="M54" s="147" t="e">
        <f t="shared" si="7"/>
        <v>#REF!</v>
      </c>
      <c r="N54" s="158" t="e">
        <f t="shared" si="9"/>
        <v>#REF!</v>
      </c>
      <c r="O54" s="88">
        <v>1370000</v>
      </c>
    </row>
    <row r="55" spans="1:15" ht="16.5" customHeight="1" hidden="1">
      <c r="A55" s="415"/>
      <c r="B55" s="42"/>
      <c r="C55" s="42"/>
      <c r="D55" s="42"/>
      <c r="E55" s="42"/>
      <c r="F55" s="42"/>
      <c r="G55" s="223"/>
      <c r="H55" s="72"/>
      <c r="I55" s="46" t="s">
        <v>72</v>
      </c>
      <c r="J55" s="52"/>
      <c r="K55" s="56" t="e">
        <f>#REF!</f>
        <v>#REF!</v>
      </c>
      <c r="L55" s="56">
        <v>0</v>
      </c>
      <c r="M55" s="147" t="e">
        <f t="shared" si="7"/>
        <v>#REF!</v>
      </c>
      <c r="N55" s="158" t="e">
        <f t="shared" si="9"/>
        <v>#REF!</v>
      </c>
      <c r="O55" s="86">
        <v>5350000</v>
      </c>
    </row>
    <row r="56" spans="1:15" ht="16.5" customHeight="1" hidden="1">
      <c r="A56" s="415"/>
      <c r="B56" s="42"/>
      <c r="C56" s="42"/>
      <c r="D56" s="42"/>
      <c r="E56" s="42"/>
      <c r="F56" s="42"/>
      <c r="G56" s="223"/>
      <c r="H56" s="72"/>
      <c r="I56" s="61"/>
      <c r="J56" s="52" t="s">
        <v>73</v>
      </c>
      <c r="K56" s="56" t="e">
        <f>#REF!</f>
        <v>#REF!</v>
      </c>
      <c r="L56" s="56">
        <v>0</v>
      </c>
      <c r="M56" s="147" t="e">
        <f t="shared" si="7"/>
        <v>#REF!</v>
      </c>
      <c r="N56" s="158" t="e">
        <f t="shared" si="9"/>
        <v>#REF!</v>
      </c>
      <c r="O56" s="86">
        <v>2800000</v>
      </c>
    </row>
    <row r="57" spans="1:15" ht="16.5" customHeight="1" hidden="1">
      <c r="A57" s="415"/>
      <c r="B57" s="42"/>
      <c r="C57" s="42"/>
      <c r="D57" s="42"/>
      <c r="E57" s="42"/>
      <c r="F57" s="42"/>
      <c r="G57" s="223"/>
      <c r="H57" s="73" t="s">
        <v>4</v>
      </c>
      <c r="I57" s="161"/>
      <c r="J57" s="52"/>
      <c r="K57" s="56" t="e">
        <f>K58</f>
        <v>#REF!</v>
      </c>
      <c r="L57" s="56">
        <v>0</v>
      </c>
      <c r="M57" s="147" t="e">
        <f t="shared" si="7"/>
        <v>#REF!</v>
      </c>
      <c r="N57" s="158" t="e">
        <f t="shared" si="9"/>
        <v>#REF!</v>
      </c>
      <c r="O57" s="86">
        <v>1100000</v>
      </c>
    </row>
    <row r="58" spans="1:15" ht="16.5" customHeight="1" hidden="1">
      <c r="A58" s="415"/>
      <c r="B58" s="42"/>
      <c r="C58" s="42"/>
      <c r="D58" s="42"/>
      <c r="E58" s="42"/>
      <c r="F58" s="42"/>
      <c r="G58" s="223"/>
      <c r="H58" s="72"/>
      <c r="I58" s="46" t="s">
        <v>64</v>
      </c>
      <c r="J58" s="52"/>
      <c r="K58" s="56" t="e">
        <f>SUM(K59:K60)</f>
        <v>#REF!</v>
      </c>
      <c r="L58" s="56">
        <v>0</v>
      </c>
      <c r="M58" s="147" t="e">
        <f t="shared" si="7"/>
        <v>#REF!</v>
      </c>
      <c r="N58" s="158" t="e">
        <f t="shared" si="9"/>
        <v>#REF!</v>
      </c>
      <c r="O58" s="86">
        <v>2910000</v>
      </c>
    </row>
    <row r="59" spans="1:15" ht="18.75" customHeight="1" hidden="1">
      <c r="A59" s="415"/>
      <c r="B59" s="42"/>
      <c r="C59" s="42"/>
      <c r="D59" s="42"/>
      <c r="E59" s="42"/>
      <c r="F59" s="42"/>
      <c r="G59" s="223"/>
      <c r="H59" s="72"/>
      <c r="I59" s="161"/>
      <c r="J59" s="52" t="s">
        <v>65</v>
      </c>
      <c r="K59" s="56" t="e">
        <f>#REF!</f>
        <v>#REF!</v>
      </c>
      <c r="L59" s="56">
        <v>0</v>
      </c>
      <c r="M59" s="147" t="e">
        <f t="shared" si="7"/>
        <v>#REF!</v>
      </c>
      <c r="N59" s="158" t="e">
        <f t="shared" si="9"/>
        <v>#REF!</v>
      </c>
      <c r="O59" s="86">
        <v>0</v>
      </c>
    </row>
    <row r="60" spans="1:15" ht="18.75" customHeight="1" hidden="1">
      <c r="A60" s="415"/>
      <c r="B60" s="42"/>
      <c r="C60" s="42"/>
      <c r="D60" s="42"/>
      <c r="E60" s="42"/>
      <c r="F60" s="42"/>
      <c r="G60" s="223"/>
      <c r="H60" s="72"/>
      <c r="I60" s="61"/>
      <c r="J60" s="52" t="s">
        <v>66</v>
      </c>
      <c r="K60" s="56" t="e">
        <f>#REF!</f>
        <v>#REF!</v>
      </c>
      <c r="L60" s="56">
        <v>0</v>
      </c>
      <c r="M60" s="147" t="e">
        <f t="shared" si="7"/>
        <v>#REF!</v>
      </c>
      <c r="N60" s="158" t="e">
        <f t="shared" si="9"/>
        <v>#REF!</v>
      </c>
      <c r="O60" s="86">
        <v>0</v>
      </c>
    </row>
    <row r="61" spans="1:15" ht="18.75" customHeight="1" hidden="1">
      <c r="A61" s="415"/>
      <c r="B61" s="42"/>
      <c r="C61" s="42"/>
      <c r="D61" s="42"/>
      <c r="E61" s="42"/>
      <c r="F61" s="42"/>
      <c r="G61" s="223"/>
      <c r="H61" s="73" t="s">
        <v>5</v>
      </c>
      <c r="I61" s="223"/>
      <c r="J61" s="52"/>
      <c r="K61" s="58" t="e">
        <f>K62</f>
        <v>#REF!</v>
      </c>
      <c r="L61" s="58">
        <v>350</v>
      </c>
      <c r="M61" s="148" t="e">
        <f aca="true" t="shared" si="10" ref="M61:M67">K61-L61</f>
        <v>#REF!</v>
      </c>
      <c r="N61" s="158" t="e">
        <f t="shared" si="9"/>
        <v>#REF!</v>
      </c>
      <c r="O61" s="86">
        <v>0</v>
      </c>
    </row>
    <row r="62" spans="1:15" ht="18.75" customHeight="1" hidden="1">
      <c r="A62" s="415"/>
      <c r="B62" s="42"/>
      <c r="C62" s="42"/>
      <c r="D62" s="42"/>
      <c r="E62" s="42"/>
      <c r="F62" s="42"/>
      <c r="G62" s="223"/>
      <c r="H62" s="72"/>
      <c r="I62" s="46" t="s">
        <v>67</v>
      </c>
      <c r="J62" s="52"/>
      <c r="K62" s="56" t="e">
        <f>K63</f>
        <v>#REF!</v>
      </c>
      <c r="L62" s="56">
        <v>350</v>
      </c>
      <c r="M62" s="147" t="e">
        <f t="shared" si="10"/>
        <v>#REF!</v>
      </c>
      <c r="N62" s="158" t="e">
        <f t="shared" si="9"/>
        <v>#REF!</v>
      </c>
      <c r="O62" s="86">
        <v>0</v>
      </c>
    </row>
    <row r="63" spans="1:14" ht="18.75" customHeight="1" hidden="1">
      <c r="A63" s="415"/>
      <c r="B63" s="42"/>
      <c r="C63" s="42"/>
      <c r="D63" s="42"/>
      <c r="E63" s="42"/>
      <c r="F63" s="42"/>
      <c r="G63" s="223"/>
      <c r="H63" s="72"/>
      <c r="I63" s="61"/>
      <c r="J63" s="52" t="s">
        <v>67</v>
      </c>
      <c r="K63" s="56" t="e">
        <f>#REF!</f>
        <v>#REF!</v>
      </c>
      <c r="L63" s="56">
        <v>350</v>
      </c>
      <c r="M63" s="147" t="e">
        <f t="shared" si="10"/>
        <v>#REF!</v>
      </c>
      <c r="N63" s="158" t="e">
        <f t="shared" si="9"/>
        <v>#REF!</v>
      </c>
    </row>
    <row r="64" spans="1:15" ht="18.75" customHeight="1" hidden="1">
      <c r="A64" s="415"/>
      <c r="B64" s="42"/>
      <c r="C64" s="42"/>
      <c r="D64" s="42"/>
      <c r="E64" s="42"/>
      <c r="F64" s="42"/>
      <c r="G64" s="223"/>
      <c r="H64" s="73" t="s">
        <v>83</v>
      </c>
      <c r="I64" s="223"/>
      <c r="J64" s="52"/>
      <c r="K64" s="174" t="e">
        <f>K65</f>
        <v>#REF!</v>
      </c>
      <c r="L64" s="174">
        <v>0</v>
      </c>
      <c r="M64" s="148" t="e">
        <f t="shared" si="10"/>
        <v>#REF!</v>
      </c>
      <c r="N64" s="158" t="e">
        <f t="shared" si="9"/>
        <v>#REF!</v>
      </c>
      <c r="O64" s="86">
        <v>0</v>
      </c>
    </row>
    <row r="65" spans="1:15" ht="18.75" customHeight="1" hidden="1">
      <c r="A65" s="415"/>
      <c r="B65" s="42"/>
      <c r="C65" s="42"/>
      <c r="D65" s="42"/>
      <c r="E65" s="42"/>
      <c r="F65" s="42"/>
      <c r="G65" s="223"/>
      <c r="H65" s="72"/>
      <c r="I65" s="46" t="s">
        <v>84</v>
      </c>
      <c r="J65" s="52"/>
      <c r="K65" s="173" t="e">
        <f>K66</f>
        <v>#REF!</v>
      </c>
      <c r="L65" s="173">
        <v>0</v>
      </c>
      <c r="M65" s="147" t="e">
        <f t="shared" si="10"/>
        <v>#REF!</v>
      </c>
      <c r="N65" s="158" t="e">
        <f t="shared" si="9"/>
        <v>#REF!</v>
      </c>
      <c r="O65" s="86">
        <v>0</v>
      </c>
    </row>
    <row r="66" spans="1:14" ht="16.5" customHeight="1" hidden="1">
      <c r="A66" s="415"/>
      <c r="B66" s="42"/>
      <c r="C66" s="42"/>
      <c r="D66" s="42"/>
      <c r="E66" s="42"/>
      <c r="F66" s="42"/>
      <c r="G66" s="223"/>
      <c r="H66" s="72"/>
      <c r="I66" s="61" t="s">
        <v>85</v>
      </c>
      <c r="J66" s="52" t="s">
        <v>84</v>
      </c>
      <c r="K66" s="173" t="e">
        <f>#REF!</f>
        <v>#REF!</v>
      </c>
      <c r="L66" s="173">
        <v>0</v>
      </c>
      <c r="M66" s="147" t="e">
        <f t="shared" si="10"/>
        <v>#REF!</v>
      </c>
      <c r="N66" s="158" t="e">
        <f t="shared" si="9"/>
        <v>#REF!</v>
      </c>
    </row>
    <row r="67" spans="1:15" ht="18.75" customHeight="1">
      <c r="A67" s="415"/>
      <c r="B67" s="66"/>
      <c r="C67" s="66"/>
      <c r="D67" s="66"/>
      <c r="E67" s="66"/>
      <c r="F67" s="66"/>
      <c r="G67" s="64"/>
      <c r="H67" s="72"/>
      <c r="I67" s="217"/>
      <c r="J67" s="52" t="s">
        <v>331</v>
      </c>
      <c r="K67" s="56">
        <v>4000</v>
      </c>
      <c r="L67" s="56"/>
      <c r="M67" s="147">
        <f t="shared" si="10"/>
        <v>4000</v>
      </c>
      <c r="N67" s="158"/>
      <c r="O67" s="86">
        <v>0</v>
      </c>
    </row>
    <row r="68" spans="1:15" ht="16.5" customHeight="1">
      <c r="A68" s="415"/>
      <c r="B68" s="42"/>
      <c r="C68" s="42"/>
      <c r="D68" s="42"/>
      <c r="E68" s="42"/>
      <c r="F68" s="42"/>
      <c r="G68" s="223"/>
      <c r="H68" s="73" t="s">
        <v>5</v>
      </c>
      <c r="I68" s="52"/>
      <c r="J68" s="69"/>
      <c r="K68" s="172">
        <f>K69</f>
        <v>1000</v>
      </c>
      <c r="L68" s="172">
        <v>350</v>
      </c>
      <c r="M68" s="167">
        <f aca="true" t="shared" si="11" ref="M68:M73">K68-L68</f>
        <v>650</v>
      </c>
      <c r="N68" s="158">
        <f aca="true" t="shared" si="12" ref="N68:N73">(K68/L68%)-100</f>
        <v>185.71428571428572</v>
      </c>
      <c r="O68" s="86">
        <v>69520</v>
      </c>
    </row>
    <row r="69" spans="1:15" ht="16.5" customHeight="1">
      <c r="A69" s="415"/>
      <c r="B69" s="42"/>
      <c r="C69" s="42"/>
      <c r="D69" s="42"/>
      <c r="E69" s="42"/>
      <c r="F69" s="42"/>
      <c r="G69" s="223"/>
      <c r="H69" s="72"/>
      <c r="I69" s="70" t="s">
        <v>329</v>
      </c>
      <c r="J69" s="69"/>
      <c r="K69" s="56">
        <f>K70</f>
        <v>1000</v>
      </c>
      <c r="L69" s="56">
        <v>350</v>
      </c>
      <c r="M69" s="147">
        <f t="shared" si="11"/>
        <v>650</v>
      </c>
      <c r="N69" s="158">
        <f t="shared" si="12"/>
        <v>185.71428571428572</v>
      </c>
      <c r="O69" s="86">
        <v>69520</v>
      </c>
    </row>
    <row r="70" spans="1:14" ht="14.25">
      <c r="A70" s="415"/>
      <c r="B70" s="42"/>
      <c r="C70" s="42"/>
      <c r="D70" s="42"/>
      <c r="E70" s="42"/>
      <c r="F70" s="42"/>
      <c r="G70" s="387"/>
      <c r="H70" s="169"/>
      <c r="I70" s="388"/>
      <c r="J70" s="69" t="s">
        <v>329</v>
      </c>
      <c r="K70" s="56">
        <v>1000</v>
      </c>
      <c r="L70" s="56">
        <v>350</v>
      </c>
      <c r="M70" s="147">
        <f t="shared" si="11"/>
        <v>650</v>
      </c>
      <c r="N70" s="158">
        <f t="shared" si="12"/>
        <v>185.71428571428572</v>
      </c>
    </row>
    <row r="71" spans="1:15" ht="16.5" customHeight="1">
      <c r="A71" s="415"/>
      <c r="B71" s="42"/>
      <c r="C71" s="42"/>
      <c r="D71" s="42"/>
      <c r="E71" s="42"/>
      <c r="F71" s="42"/>
      <c r="G71" s="223"/>
      <c r="H71" s="72" t="s">
        <v>82</v>
      </c>
      <c r="I71" s="61"/>
      <c r="J71" s="388"/>
      <c r="K71" s="172">
        <f>K72</f>
        <v>12022</v>
      </c>
      <c r="L71" s="172">
        <v>12366</v>
      </c>
      <c r="M71" s="167">
        <f t="shared" si="11"/>
        <v>-344</v>
      </c>
      <c r="N71" s="158">
        <f t="shared" si="12"/>
        <v>-2.7818211224324756</v>
      </c>
      <c r="O71" s="86">
        <v>69520</v>
      </c>
    </row>
    <row r="72" spans="1:15" ht="16.5" customHeight="1">
      <c r="A72" s="415"/>
      <c r="B72" s="42"/>
      <c r="C72" s="42"/>
      <c r="D72" s="42"/>
      <c r="E72" s="42"/>
      <c r="F72" s="42"/>
      <c r="G72" s="223"/>
      <c r="H72" s="72"/>
      <c r="I72" s="70" t="s">
        <v>68</v>
      </c>
      <c r="J72" s="69"/>
      <c r="K72" s="56">
        <f>K73</f>
        <v>12022</v>
      </c>
      <c r="L72" s="56">
        <v>12366</v>
      </c>
      <c r="M72" s="147">
        <f t="shared" si="11"/>
        <v>-344</v>
      </c>
      <c r="N72" s="158">
        <f t="shared" si="12"/>
        <v>-2.7818211224324756</v>
      </c>
      <c r="O72" s="86">
        <v>69520</v>
      </c>
    </row>
    <row r="73" spans="1:14" ht="15" thickBot="1">
      <c r="A73" s="416"/>
      <c r="B73" s="76"/>
      <c r="C73" s="76"/>
      <c r="D73" s="76"/>
      <c r="E73" s="76"/>
      <c r="F73" s="76"/>
      <c r="G73" s="77"/>
      <c r="H73" s="78"/>
      <c r="I73" s="79"/>
      <c r="J73" s="80" t="s">
        <v>68</v>
      </c>
      <c r="K73" s="57">
        <v>12022</v>
      </c>
      <c r="L73" s="57">
        <v>12366</v>
      </c>
      <c r="M73" s="149">
        <f t="shared" si="11"/>
        <v>-344</v>
      </c>
      <c r="N73" s="175">
        <f t="shared" si="12"/>
        <v>-2.7818211224324756</v>
      </c>
    </row>
    <row r="74" spans="8:14" ht="14.25">
      <c r="H74" s="224"/>
      <c r="I74" s="224"/>
      <c r="J74" s="224"/>
      <c r="K74" s="222" t="s">
        <v>75</v>
      </c>
      <c r="L74" s="222"/>
      <c r="M74" s="222"/>
      <c r="N74" s="222"/>
    </row>
  </sheetData>
  <mergeCells count="20">
    <mergeCell ref="A1:N1"/>
    <mergeCell ref="K4:K5"/>
    <mergeCell ref="L4:L5"/>
    <mergeCell ref="I4:I5"/>
    <mergeCell ref="J4:J5"/>
    <mergeCell ref="A3:G3"/>
    <mergeCell ref="K2:N2"/>
    <mergeCell ref="F4:G4"/>
    <mergeCell ref="M4:N4"/>
    <mergeCell ref="A4:A5"/>
    <mergeCell ref="B4:B5"/>
    <mergeCell ref="C4:C5"/>
    <mergeCell ref="D4:D5"/>
    <mergeCell ref="E4:E5"/>
    <mergeCell ref="H4:H5"/>
    <mergeCell ref="H3:N3"/>
    <mergeCell ref="H25:H26"/>
    <mergeCell ref="A30:A73"/>
    <mergeCell ref="A6:C6"/>
    <mergeCell ref="H6:J6"/>
  </mergeCells>
  <printOptions/>
  <pageMargins left="0.5905511811023623" right="0.1968503937007874" top="0.5511811023622047" bottom="0.2362204724409449" header="0.5118110236220472" footer="0.2755905511811024"/>
  <pageSetup horizontalDpi="600" verticalDpi="600" orientation="landscape" paperSize="9" scale="95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view="pageBreakPreview" zoomScale="80" zoomScaleSheetLayoutView="80" workbookViewId="0" topLeftCell="A1">
      <selection activeCell="J14" sqref="J14"/>
    </sheetView>
  </sheetViews>
  <sheetFormatPr defaultColWidth="8.88671875" defaultRowHeight="13.5"/>
  <cols>
    <col min="1" max="1" width="6.21484375" style="0" customWidth="1"/>
    <col min="2" max="2" width="10.4453125" style="0" customWidth="1"/>
    <col min="3" max="3" width="6.10546875" style="0" customWidth="1"/>
    <col min="4" max="4" width="10.88671875" style="0" customWidth="1"/>
    <col min="5" max="5" width="12.3359375" style="0" customWidth="1"/>
    <col min="6" max="6" width="6.10546875" style="0" customWidth="1"/>
    <col min="7" max="7" width="15.77734375" style="0" customWidth="1"/>
    <col min="8" max="8" width="15.6640625" style="0" customWidth="1"/>
    <col min="9" max="9" width="12.88671875" style="0" customWidth="1"/>
    <col min="10" max="10" width="14.3359375" style="0" customWidth="1"/>
    <col min="11" max="11" width="12.77734375" style="0" customWidth="1"/>
    <col min="12" max="12" width="12.99609375" style="0" customWidth="1"/>
    <col min="13" max="13" width="11.88671875" style="0" customWidth="1"/>
    <col min="14" max="14" width="18.21484375" style="0" customWidth="1"/>
    <col min="15" max="16" width="17.10546875" style="0" customWidth="1"/>
    <col min="17" max="17" width="7.77734375" style="0" customWidth="1"/>
    <col min="18" max="18" width="14.88671875" style="0" customWidth="1"/>
    <col min="19" max="19" width="10.5546875" style="0" customWidth="1"/>
    <col min="20" max="20" width="7.5546875" style="0" customWidth="1"/>
    <col min="21" max="21" width="13.3359375" style="0" customWidth="1"/>
    <col min="22" max="22" width="12.3359375" style="0" customWidth="1"/>
    <col min="23" max="23" width="11.5546875" style="0" customWidth="1"/>
    <col min="24" max="24" width="12.5546875" style="0" customWidth="1"/>
    <col min="25" max="25" width="12.21484375" style="0" customWidth="1"/>
    <col min="26" max="27" width="10.88671875" style="0" customWidth="1"/>
    <col min="28" max="28" width="15.77734375" style="0" customWidth="1"/>
    <col min="29" max="29" width="18.88671875" style="0" customWidth="1"/>
    <col min="30" max="30" width="12.6640625" style="0" bestFit="1" customWidth="1"/>
  </cols>
  <sheetData>
    <row r="1" spans="1:29" ht="38.25" customHeight="1" thickBot="1">
      <c r="A1" s="430" t="s">
        <v>169</v>
      </c>
      <c r="B1" s="430"/>
      <c r="C1" s="430"/>
      <c r="D1" s="430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81"/>
      <c r="P1" s="185"/>
      <c r="Q1" s="430" t="s">
        <v>86</v>
      </c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</row>
    <row r="2" spans="1:29" ht="34.5" customHeight="1">
      <c r="A2" s="17" t="s">
        <v>87</v>
      </c>
      <c r="B2" s="18" t="s">
        <v>88</v>
      </c>
      <c r="C2" s="18" t="s">
        <v>89</v>
      </c>
      <c r="D2" s="22" t="s">
        <v>90</v>
      </c>
      <c r="E2" s="40" t="s">
        <v>91</v>
      </c>
      <c r="F2" s="18" t="s">
        <v>92</v>
      </c>
      <c r="G2" s="25" t="s">
        <v>93</v>
      </c>
      <c r="H2" s="18" t="s">
        <v>94</v>
      </c>
      <c r="I2" s="18" t="s">
        <v>95</v>
      </c>
      <c r="J2" s="18" t="s">
        <v>96</v>
      </c>
      <c r="K2" s="18" t="s">
        <v>97</v>
      </c>
      <c r="L2" s="18" t="s">
        <v>98</v>
      </c>
      <c r="M2" s="18" t="s">
        <v>99</v>
      </c>
      <c r="N2" s="49" t="s">
        <v>100</v>
      </c>
      <c r="O2" s="143"/>
      <c r="P2" s="200"/>
      <c r="Q2" s="17" t="s">
        <v>87</v>
      </c>
      <c r="R2" s="18" t="s">
        <v>88</v>
      </c>
      <c r="S2" s="18" t="s">
        <v>89</v>
      </c>
      <c r="T2" s="18" t="s">
        <v>90</v>
      </c>
      <c r="U2" s="23" t="s">
        <v>101</v>
      </c>
      <c r="V2" s="23" t="s">
        <v>102</v>
      </c>
      <c r="W2" s="23" t="s">
        <v>103</v>
      </c>
      <c r="X2" s="23" t="s">
        <v>104</v>
      </c>
      <c r="Y2" s="23" t="s">
        <v>105</v>
      </c>
      <c r="Z2" s="23" t="s">
        <v>106</v>
      </c>
      <c r="AA2" s="23" t="s">
        <v>107</v>
      </c>
      <c r="AB2" s="23" t="s">
        <v>108</v>
      </c>
      <c r="AC2" s="37" t="s">
        <v>109</v>
      </c>
    </row>
    <row r="3" spans="1:31" ht="34.5" customHeight="1">
      <c r="A3" s="212">
        <v>1</v>
      </c>
      <c r="B3" s="208" t="s">
        <v>110</v>
      </c>
      <c r="C3" s="202" t="s">
        <v>111</v>
      </c>
      <c r="D3" s="24">
        <v>10</v>
      </c>
      <c r="E3" s="48">
        <v>2984000</v>
      </c>
      <c r="F3" s="10">
        <v>7</v>
      </c>
      <c r="G3" s="26">
        <f>E3*F3</f>
        <v>20888000</v>
      </c>
      <c r="H3" s="10">
        <f>E3*1.2</f>
        <v>3580800</v>
      </c>
      <c r="I3" s="10">
        <f>200000*F3</f>
        <v>1400000</v>
      </c>
      <c r="J3" s="10">
        <f aca="true" t="shared" si="0" ref="J3:J8">ROUNDDOWN((G3*35/209*1.5),-1)</f>
        <v>5246980</v>
      </c>
      <c r="K3" s="10">
        <f>F3*40000</f>
        <v>280000</v>
      </c>
      <c r="L3" s="10">
        <f aca="true" t="shared" si="1" ref="L3:L41">100000*F3</f>
        <v>700000</v>
      </c>
      <c r="M3" s="10">
        <f aca="true" t="shared" si="2" ref="M3:M30">40000*F3</f>
        <v>280000</v>
      </c>
      <c r="N3" s="50">
        <f aca="true" t="shared" si="3" ref="N3:N41">SUM(G3:M3)</f>
        <v>32375780</v>
      </c>
      <c r="O3" s="144">
        <f>N3+N4</f>
        <v>53594240</v>
      </c>
      <c r="P3" s="201">
        <f>SUM(H3:M3)</f>
        <v>11487780</v>
      </c>
      <c r="Q3" s="202" t="s">
        <v>175</v>
      </c>
      <c r="R3" s="202" t="s">
        <v>110</v>
      </c>
      <c r="S3" s="202" t="str">
        <f>Q3</f>
        <v>박세혁</v>
      </c>
      <c r="T3" s="24">
        <v>9</v>
      </c>
      <c r="U3" s="15">
        <f>O3/AE3</f>
        <v>4466186.666666667</v>
      </c>
      <c r="V3" s="15">
        <f aca="true" t="shared" si="4" ref="V3:V10">ROUNDDOWN((U3*$E$46),-1)</f>
        <v>131750</v>
      </c>
      <c r="W3" s="15">
        <f aca="true" t="shared" si="5" ref="W3:W10">ROUNDDOWN((V3*$E$47),-1)</f>
        <v>8620</v>
      </c>
      <c r="X3" s="15">
        <f aca="true" t="shared" si="6" ref="X3:X10">ROUNDDOWN((U3*$E$48),-1)</f>
        <v>200970</v>
      </c>
      <c r="Y3" s="15">
        <f>ROUNDDOWN((U3*4.5%/10),-1)</f>
        <v>20090</v>
      </c>
      <c r="Z3" s="15">
        <v>40000</v>
      </c>
      <c r="AA3" s="15">
        <f>ROUNDDOWN((U3*0.01),-1)</f>
        <v>44660</v>
      </c>
      <c r="AB3" s="15">
        <f>SUM(V3:AA3)</f>
        <v>446090</v>
      </c>
      <c r="AC3" s="39">
        <f>U3-AB3</f>
        <v>4020096.666666667</v>
      </c>
      <c r="AD3" s="84">
        <f>AB3*AE3</f>
        <v>5353080</v>
      </c>
      <c r="AE3">
        <v>12</v>
      </c>
    </row>
    <row r="4" spans="1:31" ht="34.5" customHeight="1">
      <c r="A4" s="213"/>
      <c r="B4" s="209"/>
      <c r="C4" s="203"/>
      <c r="D4" s="24">
        <v>11</v>
      </c>
      <c r="E4" s="48">
        <v>3088000</v>
      </c>
      <c r="F4" s="10">
        <v>5</v>
      </c>
      <c r="G4" s="26">
        <f aca="true" t="shared" si="7" ref="G4:G41">E4*F4</f>
        <v>15440000</v>
      </c>
      <c r="H4" s="10"/>
      <c r="I4" s="10">
        <f>200000*F4</f>
        <v>1000000</v>
      </c>
      <c r="J4" s="10">
        <f t="shared" si="0"/>
        <v>3878460</v>
      </c>
      <c r="K4" s="10">
        <f>F4*40000</f>
        <v>200000</v>
      </c>
      <c r="L4" s="10">
        <f t="shared" si="1"/>
        <v>500000</v>
      </c>
      <c r="M4" s="10">
        <f t="shared" si="2"/>
        <v>200000</v>
      </c>
      <c r="N4" s="50">
        <f t="shared" si="3"/>
        <v>21218460</v>
      </c>
      <c r="O4" s="144"/>
      <c r="P4" s="201">
        <f aca="true" t="shared" si="8" ref="P4:P41">SUM(H4:M4)</f>
        <v>5778460</v>
      </c>
      <c r="Q4" s="203"/>
      <c r="R4" s="203"/>
      <c r="S4" s="202">
        <f aca="true" t="shared" si="9" ref="S4:S41">Q4</f>
        <v>0</v>
      </c>
      <c r="T4" s="24">
        <v>10</v>
      </c>
      <c r="U4" s="15">
        <f aca="true" t="shared" si="10" ref="U4:U41">O4/AE4</f>
        <v>0</v>
      </c>
      <c r="V4" s="15">
        <f t="shared" si="4"/>
        <v>0</v>
      </c>
      <c r="W4" s="15">
        <f t="shared" si="5"/>
        <v>0</v>
      </c>
      <c r="X4" s="15">
        <f t="shared" si="6"/>
        <v>0</v>
      </c>
      <c r="Y4" s="15"/>
      <c r="Z4" s="15"/>
      <c r="AA4" s="15"/>
      <c r="AB4" s="15"/>
      <c r="AC4" s="39"/>
      <c r="AD4" s="84">
        <f aca="true" t="shared" si="11" ref="AD4:AD41">AB4*AE4</f>
        <v>0</v>
      </c>
      <c r="AE4">
        <v>12</v>
      </c>
    </row>
    <row r="5" spans="1:31" ht="34.5" customHeight="1">
      <c r="A5" s="212">
        <v>2</v>
      </c>
      <c r="B5" s="208" t="s">
        <v>176</v>
      </c>
      <c r="C5" s="202" t="s">
        <v>113</v>
      </c>
      <c r="D5" s="24">
        <v>15</v>
      </c>
      <c r="E5" s="48">
        <v>3076000</v>
      </c>
      <c r="F5" s="10">
        <v>3</v>
      </c>
      <c r="G5" s="26">
        <f t="shared" si="7"/>
        <v>9228000</v>
      </c>
      <c r="H5" s="10">
        <f aca="true" t="shared" si="12" ref="H5:H10">E5*0.6</f>
        <v>1845600</v>
      </c>
      <c r="I5" s="10">
        <f>100000*F5</f>
        <v>300000</v>
      </c>
      <c r="J5" s="10">
        <f t="shared" si="0"/>
        <v>2318030</v>
      </c>
      <c r="K5" s="10">
        <f>F5*80000</f>
        <v>240000</v>
      </c>
      <c r="L5" s="10">
        <f t="shared" si="1"/>
        <v>300000</v>
      </c>
      <c r="M5" s="10">
        <f t="shared" si="2"/>
        <v>120000</v>
      </c>
      <c r="N5" s="50">
        <f t="shared" si="3"/>
        <v>14351630</v>
      </c>
      <c r="O5" s="144">
        <f>N5+N6</f>
        <v>54450710</v>
      </c>
      <c r="P5" s="201">
        <f t="shared" si="8"/>
        <v>5123630</v>
      </c>
      <c r="Q5" s="202" t="s">
        <v>113</v>
      </c>
      <c r="R5" s="202" t="s">
        <v>112</v>
      </c>
      <c r="S5" s="202" t="str">
        <f t="shared" si="9"/>
        <v>김춘희</v>
      </c>
      <c r="T5" s="24">
        <v>14</v>
      </c>
      <c r="U5" s="15">
        <f t="shared" si="10"/>
        <v>4537559.166666667</v>
      </c>
      <c r="V5" s="15">
        <f t="shared" si="4"/>
        <v>133850</v>
      </c>
      <c r="W5" s="15">
        <f t="shared" si="5"/>
        <v>8760</v>
      </c>
      <c r="X5" s="15">
        <f t="shared" si="6"/>
        <v>204190</v>
      </c>
      <c r="Y5" s="15">
        <f>ROUNDDOWN((U5*4.5%/10),-1)</f>
        <v>20410</v>
      </c>
      <c r="Z5" s="15">
        <v>40000</v>
      </c>
      <c r="AA5" s="15">
        <f>ROUNDDOWN((U5*0.01),-1)</f>
        <v>45370</v>
      </c>
      <c r="AB5" s="15">
        <f>SUM(V5:AA5)</f>
        <v>452580</v>
      </c>
      <c r="AC5" s="39">
        <f>U5-AB5</f>
        <v>4084979.166666667</v>
      </c>
      <c r="AD5" s="84">
        <f t="shared" si="11"/>
        <v>5430960</v>
      </c>
      <c r="AE5">
        <v>12</v>
      </c>
    </row>
    <row r="6" spans="1:31" ht="34.5" customHeight="1">
      <c r="A6" s="213"/>
      <c r="B6" s="209"/>
      <c r="C6" s="203"/>
      <c r="D6" s="24">
        <v>16</v>
      </c>
      <c r="E6" s="48">
        <v>3138000</v>
      </c>
      <c r="F6" s="10">
        <v>9</v>
      </c>
      <c r="G6" s="26">
        <f t="shared" si="7"/>
        <v>28242000</v>
      </c>
      <c r="H6" s="10">
        <f t="shared" si="12"/>
        <v>1882800</v>
      </c>
      <c r="I6" s="10">
        <f>100000*F6</f>
        <v>900000</v>
      </c>
      <c r="J6" s="10">
        <f t="shared" si="0"/>
        <v>7094280</v>
      </c>
      <c r="K6" s="10">
        <f>F6*80000</f>
        <v>720000</v>
      </c>
      <c r="L6" s="10">
        <f t="shared" si="1"/>
        <v>900000</v>
      </c>
      <c r="M6" s="10">
        <f t="shared" si="2"/>
        <v>360000</v>
      </c>
      <c r="N6" s="50">
        <f t="shared" si="3"/>
        <v>40099080</v>
      </c>
      <c r="O6" s="144"/>
      <c r="P6" s="201">
        <f t="shared" si="8"/>
        <v>11857080</v>
      </c>
      <c r="Q6" s="203"/>
      <c r="R6" s="203"/>
      <c r="S6" s="202">
        <f t="shared" si="9"/>
        <v>0</v>
      </c>
      <c r="T6" s="24">
        <v>15</v>
      </c>
      <c r="U6" s="15">
        <f t="shared" si="10"/>
        <v>0</v>
      </c>
      <c r="V6" s="15">
        <f t="shared" si="4"/>
        <v>0</v>
      </c>
      <c r="W6" s="15">
        <f t="shared" si="5"/>
        <v>0</v>
      </c>
      <c r="X6" s="15">
        <f t="shared" si="6"/>
        <v>0</v>
      </c>
      <c r="Y6" s="15"/>
      <c r="Z6" s="15"/>
      <c r="AA6" s="15"/>
      <c r="AB6" s="15"/>
      <c r="AC6" s="39"/>
      <c r="AD6" s="84">
        <f t="shared" si="11"/>
        <v>0</v>
      </c>
      <c r="AE6">
        <v>12</v>
      </c>
    </row>
    <row r="7" spans="1:31" ht="34.5" customHeight="1">
      <c r="A7" s="212">
        <v>3</v>
      </c>
      <c r="B7" s="208" t="s">
        <v>112</v>
      </c>
      <c r="C7" s="204" t="s">
        <v>114</v>
      </c>
      <c r="D7" s="90">
        <v>8</v>
      </c>
      <c r="E7" s="91">
        <v>2260000</v>
      </c>
      <c r="F7" s="92">
        <v>8</v>
      </c>
      <c r="G7" s="93">
        <f t="shared" si="7"/>
        <v>18080000</v>
      </c>
      <c r="H7" s="10">
        <f>E7*1.2</f>
        <v>2712000</v>
      </c>
      <c r="I7" s="92"/>
      <c r="J7" s="10">
        <f t="shared" si="0"/>
        <v>4541620</v>
      </c>
      <c r="K7" s="10">
        <f>F7*60000</f>
        <v>480000</v>
      </c>
      <c r="L7" s="10">
        <f t="shared" si="1"/>
        <v>800000</v>
      </c>
      <c r="M7" s="92">
        <f t="shared" si="2"/>
        <v>320000</v>
      </c>
      <c r="N7" s="94">
        <f t="shared" si="3"/>
        <v>26933620</v>
      </c>
      <c r="O7" s="144">
        <f>N7+N8</f>
        <v>39504870</v>
      </c>
      <c r="P7" s="201">
        <f t="shared" si="8"/>
        <v>8853620</v>
      </c>
      <c r="Q7" s="204" t="s">
        <v>114</v>
      </c>
      <c r="R7" s="202" t="s">
        <v>112</v>
      </c>
      <c r="S7" s="202" t="str">
        <f t="shared" si="9"/>
        <v>전상현</v>
      </c>
      <c r="T7" s="90">
        <v>7</v>
      </c>
      <c r="U7" s="15">
        <f t="shared" si="10"/>
        <v>3292072.5</v>
      </c>
      <c r="V7" s="15">
        <f t="shared" si="4"/>
        <v>97110</v>
      </c>
      <c r="W7" s="15">
        <f t="shared" si="5"/>
        <v>6360</v>
      </c>
      <c r="X7" s="15">
        <f t="shared" si="6"/>
        <v>148140</v>
      </c>
      <c r="Y7" s="15">
        <f aca="true" t="shared" si="13" ref="Y7:Y13">ROUNDDOWN((U7*4.5%/10),-1)</f>
        <v>14810</v>
      </c>
      <c r="Z7" s="15">
        <v>40000</v>
      </c>
      <c r="AA7" s="15">
        <f>ROUNDDOWN((U7*0.01),-1)</f>
        <v>32920</v>
      </c>
      <c r="AB7" s="15">
        <f>SUM(V7:AA7)</f>
        <v>339340</v>
      </c>
      <c r="AC7" s="39">
        <f>U7-AB7</f>
        <v>2952732.5</v>
      </c>
      <c r="AD7" s="84">
        <f t="shared" si="11"/>
        <v>4072080</v>
      </c>
      <c r="AE7">
        <v>12</v>
      </c>
    </row>
    <row r="8" spans="1:31" ht="34.5" customHeight="1">
      <c r="A8" s="213"/>
      <c r="B8" s="209"/>
      <c r="C8" s="205"/>
      <c r="D8" s="90">
        <v>9</v>
      </c>
      <c r="E8" s="91">
        <v>2352000</v>
      </c>
      <c r="F8" s="92">
        <v>4</v>
      </c>
      <c r="G8" s="93">
        <f t="shared" si="7"/>
        <v>9408000</v>
      </c>
      <c r="H8" s="10"/>
      <c r="I8" s="92"/>
      <c r="J8" s="10">
        <f t="shared" si="0"/>
        <v>2363250</v>
      </c>
      <c r="K8" s="10">
        <f>F8*60000</f>
        <v>240000</v>
      </c>
      <c r="L8" s="10">
        <f t="shared" si="1"/>
        <v>400000</v>
      </c>
      <c r="M8" s="92">
        <f t="shared" si="2"/>
        <v>160000</v>
      </c>
      <c r="N8" s="94">
        <f t="shared" si="3"/>
        <v>12571250</v>
      </c>
      <c r="O8" s="144"/>
      <c r="P8" s="201">
        <f t="shared" si="8"/>
        <v>3163250</v>
      </c>
      <c r="Q8" s="205"/>
      <c r="R8" s="203"/>
      <c r="S8" s="202">
        <f t="shared" si="9"/>
        <v>0</v>
      </c>
      <c r="T8" s="90">
        <v>8</v>
      </c>
      <c r="U8" s="15">
        <f t="shared" si="10"/>
        <v>0</v>
      </c>
      <c r="V8" s="15">
        <f t="shared" si="4"/>
        <v>0</v>
      </c>
      <c r="W8" s="15">
        <f t="shared" si="5"/>
        <v>0</v>
      </c>
      <c r="X8" s="15">
        <f t="shared" si="6"/>
        <v>0</v>
      </c>
      <c r="Y8" s="15">
        <f t="shared" si="13"/>
        <v>0</v>
      </c>
      <c r="Z8" s="15"/>
      <c r="AA8" s="15"/>
      <c r="AB8" s="15"/>
      <c r="AC8" s="39"/>
      <c r="AD8" s="84">
        <f t="shared" si="11"/>
        <v>0</v>
      </c>
      <c r="AE8">
        <v>12</v>
      </c>
    </row>
    <row r="9" spans="1:31" ht="34.5" customHeight="1">
      <c r="A9" s="194">
        <v>4</v>
      </c>
      <c r="B9" s="195" t="s">
        <v>115</v>
      </c>
      <c r="C9" s="196" t="s">
        <v>116</v>
      </c>
      <c r="D9" s="96">
        <v>4</v>
      </c>
      <c r="E9" s="97">
        <v>1704000</v>
      </c>
      <c r="F9" s="95">
        <v>6</v>
      </c>
      <c r="G9" s="98">
        <f t="shared" si="7"/>
        <v>10224000</v>
      </c>
      <c r="H9" s="95">
        <f t="shared" si="12"/>
        <v>1022400</v>
      </c>
      <c r="I9" s="95"/>
      <c r="J9" s="95">
        <f>ROUNDDOWN((G9*55/209*1.5),-1)</f>
        <v>4035780</v>
      </c>
      <c r="K9" s="95">
        <f>F9*40000</f>
        <v>240000</v>
      </c>
      <c r="L9" s="95">
        <f t="shared" si="1"/>
        <v>600000</v>
      </c>
      <c r="M9" s="95">
        <f t="shared" si="2"/>
        <v>240000</v>
      </c>
      <c r="N9" s="117">
        <f t="shared" si="3"/>
        <v>16362180</v>
      </c>
      <c r="O9" s="144">
        <f>N9+N10</f>
        <v>33181750</v>
      </c>
      <c r="P9" s="201">
        <f t="shared" si="8"/>
        <v>6138180</v>
      </c>
      <c r="Q9" s="196" t="s">
        <v>116</v>
      </c>
      <c r="R9" s="196" t="s">
        <v>115</v>
      </c>
      <c r="S9" s="202" t="str">
        <f t="shared" si="9"/>
        <v>이원영</v>
      </c>
      <c r="T9" s="96">
        <v>3</v>
      </c>
      <c r="U9" s="15">
        <f t="shared" si="10"/>
        <v>2765145.8333333335</v>
      </c>
      <c r="V9" s="15">
        <f t="shared" si="4"/>
        <v>81570</v>
      </c>
      <c r="W9" s="15">
        <f t="shared" si="5"/>
        <v>5340</v>
      </c>
      <c r="X9" s="15">
        <f t="shared" si="6"/>
        <v>124430</v>
      </c>
      <c r="Y9" s="15">
        <f t="shared" si="13"/>
        <v>12440</v>
      </c>
      <c r="Z9" s="15">
        <v>40000</v>
      </c>
      <c r="AA9" s="15">
        <f>ROUNDDOWN((U9*0.01),-1)</f>
        <v>27650</v>
      </c>
      <c r="AB9" s="15">
        <f>SUM(V9:AA9)</f>
        <v>291430</v>
      </c>
      <c r="AC9" s="39">
        <f>U9-AB9</f>
        <v>2473715.8333333335</v>
      </c>
      <c r="AD9" s="84">
        <f t="shared" si="11"/>
        <v>3497160</v>
      </c>
      <c r="AE9">
        <v>12</v>
      </c>
    </row>
    <row r="10" spans="1:31" ht="34.5" customHeight="1">
      <c r="A10" s="198"/>
      <c r="B10" s="199"/>
      <c r="C10" s="197"/>
      <c r="D10" s="96">
        <v>5</v>
      </c>
      <c r="E10" s="97">
        <v>1755000</v>
      </c>
      <c r="F10" s="95">
        <v>6</v>
      </c>
      <c r="G10" s="98">
        <f t="shared" si="7"/>
        <v>10530000</v>
      </c>
      <c r="H10" s="95">
        <f t="shared" si="12"/>
        <v>1053000</v>
      </c>
      <c r="I10" s="95"/>
      <c r="J10" s="95">
        <f aca="true" t="shared" si="14" ref="J10:J27">ROUNDDOWN((G10*55/209*1.5),-1)</f>
        <v>4156570</v>
      </c>
      <c r="K10" s="95">
        <f>F10*40000</f>
        <v>240000</v>
      </c>
      <c r="L10" s="95">
        <f t="shared" si="1"/>
        <v>600000</v>
      </c>
      <c r="M10" s="95">
        <f t="shared" si="2"/>
        <v>240000</v>
      </c>
      <c r="N10" s="117">
        <f t="shared" si="3"/>
        <v>16819570</v>
      </c>
      <c r="O10" s="225"/>
      <c r="P10" s="201">
        <f t="shared" si="8"/>
        <v>6289570</v>
      </c>
      <c r="Q10" s="197"/>
      <c r="R10" s="197"/>
      <c r="S10" s="202">
        <f t="shared" si="9"/>
        <v>0</v>
      </c>
      <c r="T10" s="96">
        <v>4</v>
      </c>
      <c r="U10" s="15">
        <f t="shared" si="10"/>
        <v>0</v>
      </c>
      <c r="V10" s="15">
        <f t="shared" si="4"/>
        <v>0</v>
      </c>
      <c r="W10" s="15">
        <f t="shared" si="5"/>
        <v>0</v>
      </c>
      <c r="X10" s="15">
        <f t="shared" si="6"/>
        <v>0</v>
      </c>
      <c r="Y10" s="15">
        <f t="shared" si="13"/>
        <v>0</v>
      </c>
      <c r="AA10" s="15">
        <f>ROUNDDOWN((U10*0.01),-1)</f>
        <v>0</v>
      </c>
      <c r="AB10" s="15">
        <f>SUM(V10:AA10)</f>
        <v>0</v>
      </c>
      <c r="AC10" s="39"/>
      <c r="AD10" s="84">
        <f t="shared" si="11"/>
        <v>0</v>
      </c>
      <c r="AE10">
        <v>12</v>
      </c>
    </row>
    <row r="11" spans="1:31" ht="34.5" customHeight="1">
      <c r="A11" s="483">
        <v>5</v>
      </c>
      <c r="B11" s="479" t="s">
        <v>115</v>
      </c>
      <c r="C11" s="481" t="s">
        <v>117</v>
      </c>
      <c r="D11" s="96">
        <v>11</v>
      </c>
      <c r="E11" s="97">
        <v>2134000</v>
      </c>
      <c r="F11" s="95">
        <v>10</v>
      </c>
      <c r="G11" s="98">
        <f>E11*F11</f>
        <v>21340000</v>
      </c>
      <c r="H11" s="95">
        <f>E11*1.2</f>
        <v>2560800</v>
      </c>
      <c r="I11" s="95"/>
      <c r="J11" s="95">
        <f>ROUNDDOWN((G11*55/209*1.5),-1)</f>
        <v>8423680</v>
      </c>
      <c r="K11" s="95">
        <f>F11*80000</f>
        <v>800000</v>
      </c>
      <c r="L11" s="95">
        <f>100000*F11</f>
        <v>1000000</v>
      </c>
      <c r="M11" s="95">
        <f>40000*F11</f>
        <v>400000</v>
      </c>
      <c r="N11" s="117">
        <f>SUM(G11:M11)</f>
        <v>34524480</v>
      </c>
      <c r="O11" s="144">
        <f>N11+N12</f>
        <v>41084580</v>
      </c>
      <c r="P11" s="201">
        <f>SUM(H11:M11)</f>
        <v>13184480</v>
      </c>
      <c r="Q11" s="229" t="s">
        <v>117</v>
      </c>
      <c r="R11" s="229" t="s">
        <v>115</v>
      </c>
      <c r="S11" s="202" t="str">
        <f>Q11</f>
        <v>김계주</v>
      </c>
      <c r="T11" s="96">
        <v>10</v>
      </c>
      <c r="U11" s="15">
        <f>O11/AE11</f>
        <v>3423715</v>
      </c>
      <c r="V11" s="15">
        <f>ROUNDDOWN((U11*$E$46),-1)</f>
        <v>100990</v>
      </c>
      <c r="W11" s="15">
        <f>ROUNDDOWN((V11*$E$47),-1)</f>
        <v>6610</v>
      </c>
      <c r="X11" s="15">
        <f>ROUNDDOWN((U11*$E$48),-1)</f>
        <v>154060</v>
      </c>
      <c r="Y11" s="15">
        <f t="shared" si="13"/>
        <v>15400</v>
      </c>
      <c r="Z11" s="15">
        <v>40000</v>
      </c>
      <c r="AA11" s="15">
        <f>ROUNDDOWN((U11*0.01),-1)</f>
        <v>34230</v>
      </c>
      <c r="AB11" s="15">
        <f>SUM(V11:AA11)</f>
        <v>351290</v>
      </c>
      <c r="AC11" s="39">
        <f>U11-AB11</f>
        <v>3072425</v>
      </c>
      <c r="AD11" s="84">
        <f t="shared" si="11"/>
        <v>4215480</v>
      </c>
      <c r="AE11">
        <v>12</v>
      </c>
    </row>
    <row r="12" spans="1:31" ht="34.5" customHeight="1">
      <c r="A12" s="484"/>
      <c r="B12" s="480"/>
      <c r="C12" s="482"/>
      <c r="D12" s="96">
        <v>12</v>
      </c>
      <c r="E12" s="97">
        <v>2194000</v>
      </c>
      <c r="F12" s="95">
        <v>2</v>
      </c>
      <c r="G12" s="98">
        <f t="shared" si="7"/>
        <v>4388000</v>
      </c>
      <c r="H12" s="95"/>
      <c r="I12" s="95"/>
      <c r="J12" s="95">
        <f t="shared" si="14"/>
        <v>1732100</v>
      </c>
      <c r="K12" s="95">
        <f>F12*80000</f>
        <v>160000</v>
      </c>
      <c r="L12" s="95">
        <f t="shared" si="1"/>
        <v>200000</v>
      </c>
      <c r="M12" s="95">
        <f t="shared" si="2"/>
        <v>80000</v>
      </c>
      <c r="N12" s="117">
        <f t="shared" si="3"/>
        <v>6560100</v>
      </c>
      <c r="O12" s="144"/>
      <c r="P12" s="201">
        <f t="shared" si="8"/>
        <v>2172100</v>
      </c>
      <c r="Q12" s="184" t="s">
        <v>117</v>
      </c>
      <c r="R12" s="184" t="s">
        <v>115</v>
      </c>
      <c r="S12" s="202" t="str">
        <f t="shared" si="9"/>
        <v>김계주</v>
      </c>
      <c r="T12" s="96">
        <v>10</v>
      </c>
      <c r="U12" s="15">
        <f t="shared" si="10"/>
        <v>0</v>
      </c>
      <c r="V12" s="15">
        <f aca="true" t="shared" si="15" ref="V12:V27">ROUNDDOWN((U12*$E$46),-1)</f>
        <v>0</v>
      </c>
      <c r="W12" s="15">
        <f aca="true" t="shared" si="16" ref="W12:W27">ROUNDDOWN((V12*$E$47),-1)</f>
        <v>0</v>
      </c>
      <c r="X12" s="15">
        <f aca="true" t="shared" si="17" ref="X12:X27">ROUNDDOWN((U12*$E$48),-1)</f>
        <v>0</v>
      </c>
      <c r="Y12" s="15">
        <f t="shared" si="13"/>
        <v>0</v>
      </c>
      <c r="Z12" s="15">
        <v>40000</v>
      </c>
      <c r="AA12" s="15">
        <f>ROUNDDOWN((U12*0.01),-1)</f>
        <v>0</v>
      </c>
      <c r="AB12" s="15">
        <f>SUM(V12:AA12)</f>
        <v>40000</v>
      </c>
      <c r="AC12" s="39"/>
      <c r="AD12" s="84">
        <f t="shared" si="11"/>
        <v>480000</v>
      </c>
      <c r="AE12">
        <v>12</v>
      </c>
    </row>
    <row r="13" spans="1:31" ht="34.5" customHeight="1">
      <c r="A13" s="194">
        <v>6</v>
      </c>
      <c r="B13" s="195" t="s">
        <v>115</v>
      </c>
      <c r="C13" s="196" t="s">
        <v>118</v>
      </c>
      <c r="D13" s="96">
        <v>4</v>
      </c>
      <c r="E13" s="97">
        <v>1704000</v>
      </c>
      <c r="F13" s="95">
        <v>3</v>
      </c>
      <c r="G13" s="98">
        <f t="shared" si="7"/>
        <v>5112000</v>
      </c>
      <c r="H13" s="95">
        <f>E13*0.6</f>
        <v>1022400</v>
      </c>
      <c r="I13" s="95"/>
      <c r="J13" s="95">
        <f t="shared" si="14"/>
        <v>2017890</v>
      </c>
      <c r="K13" s="95"/>
      <c r="L13" s="95">
        <f t="shared" si="1"/>
        <v>300000</v>
      </c>
      <c r="M13" s="95">
        <f t="shared" si="2"/>
        <v>120000</v>
      </c>
      <c r="N13" s="117">
        <f t="shared" si="3"/>
        <v>8572290</v>
      </c>
      <c r="O13" s="144">
        <f>N13+N14</f>
        <v>32915150</v>
      </c>
      <c r="P13" s="201">
        <f t="shared" si="8"/>
        <v>3460290</v>
      </c>
      <c r="Q13" s="196" t="s">
        <v>118</v>
      </c>
      <c r="R13" s="196" t="s">
        <v>115</v>
      </c>
      <c r="S13" s="202" t="str">
        <f t="shared" si="9"/>
        <v>김극진</v>
      </c>
      <c r="T13" s="96">
        <v>3</v>
      </c>
      <c r="U13" s="15">
        <f t="shared" si="10"/>
        <v>2742929.1666666665</v>
      </c>
      <c r="V13" s="15">
        <f t="shared" si="15"/>
        <v>80910</v>
      </c>
      <c r="W13" s="15">
        <f t="shared" si="16"/>
        <v>5290</v>
      </c>
      <c r="X13" s="15">
        <f t="shared" si="17"/>
        <v>123430</v>
      </c>
      <c r="Y13" s="15">
        <f t="shared" si="13"/>
        <v>12340</v>
      </c>
      <c r="Z13" s="15">
        <v>40000</v>
      </c>
      <c r="AA13" s="15">
        <f>ROUNDDOWN((U13*0.01),-1)</f>
        <v>27420</v>
      </c>
      <c r="AB13" s="15">
        <f>SUM(V13:AA13)</f>
        <v>289390</v>
      </c>
      <c r="AC13" s="39">
        <f>U13-AB13</f>
        <v>2453539.1666666665</v>
      </c>
      <c r="AD13" s="84">
        <f t="shared" si="11"/>
        <v>3472680</v>
      </c>
      <c r="AE13">
        <v>12</v>
      </c>
    </row>
    <row r="14" spans="1:31" ht="34.5" customHeight="1">
      <c r="A14" s="198"/>
      <c r="B14" s="199"/>
      <c r="C14" s="197"/>
      <c r="D14" s="96">
        <v>5</v>
      </c>
      <c r="E14" s="97">
        <v>1755000</v>
      </c>
      <c r="F14" s="95">
        <v>9</v>
      </c>
      <c r="G14" s="98">
        <f t="shared" si="7"/>
        <v>15795000</v>
      </c>
      <c r="H14" s="95">
        <f>E14*0.6</f>
        <v>1053000</v>
      </c>
      <c r="I14" s="95"/>
      <c r="J14" s="95">
        <f t="shared" si="14"/>
        <v>6234860</v>
      </c>
      <c r="K14" s="95"/>
      <c r="L14" s="95">
        <f t="shared" si="1"/>
        <v>900000</v>
      </c>
      <c r="M14" s="95">
        <f t="shared" si="2"/>
        <v>360000</v>
      </c>
      <c r="N14" s="117">
        <f t="shared" si="3"/>
        <v>24342860</v>
      </c>
      <c r="O14" s="145"/>
      <c r="P14" s="201">
        <f t="shared" si="8"/>
        <v>8547860</v>
      </c>
      <c r="Q14" s="197"/>
      <c r="R14" s="197"/>
      <c r="S14" s="202">
        <f t="shared" si="9"/>
        <v>0</v>
      </c>
      <c r="T14" s="96">
        <v>4</v>
      </c>
      <c r="U14" s="15">
        <f t="shared" si="10"/>
        <v>0</v>
      </c>
      <c r="V14" s="15">
        <f t="shared" si="15"/>
        <v>0</v>
      </c>
      <c r="W14" s="15">
        <f t="shared" si="16"/>
        <v>0</v>
      </c>
      <c r="X14" s="15">
        <f t="shared" si="17"/>
        <v>0</v>
      </c>
      <c r="Y14" s="15"/>
      <c r="Z14" s="15"/>
      <c r="AA14" s="15"/>
      <c r="AB14" s="15"/>
      <c r="AC14" s="39"/>
      <c r="AD14" s="84">
        <f t="shared" si="11"/>
        <v>0</v>
      </c>
      <c r="AE14">
        <v>12</v>
      </c>
    </row>
    <row r="15" spans="1:31" ht="34.5" customHeight="1">
      <c r="A15" s="194">
        <v>7</v>
      </c>
      <c r="B15" s="195" t="s">
        <v>115</v>
      </c>
      <c r="C15" s="196" t="s">
        <v>119</v>
      </c>
      <c r="D15" s="96">
        <v>4</v>
      </c>
      <c r="E15" s="97">
        <v>1704000</v>
      </c>
      <c r="F15" s="95">
        <v>7</v>
      </c>
      <c r="G15" s="98">
        <f t="shared" si="7"/>
        <v>11928000</v>
      </c>
      <c r="H15" s="95">
        <f>E15*1.2</f>
        <v>2044800</v>
      </c>
      <c r="I15" s="95"/>
      <c r="J15" s="95">
        <f t="shared" si="14"/>
        <v>4708420</v>
      </c>
      <c r="K15" s="95"/>
      <c r="L15" s="95">
        <f t="shared" si="1"/>
        <v>700000</v>
      </c>
      <c r="M15" s="95">
        <f t="shared" si="2"/>
        <v>280000</v>
      </c>
      <c r="N15" s="117">
        <f t="shared" si="3"/>
        <v>19661220</v>
      </c>
      <c r="O15" s="144">
        <f>N15+N16</f>
        <v>32600030</v>
      </c>
      <c r="P15" s="201">
        <f t="shared" si="8"/>
        <v>7733220</v>
      </c>
      <c r="Q15" s="196" t="s">
        <v>119</v>
      </c>
      <c r="R15" s="196" t="s">
        <v>115</v>
      </c>
      <c r="S15" s="202" t="str">
        <f t="shared" si="9"/>
        <v>김세현</v>
      </c>
      <c r="T15" s="96">
        <v>3</v>
      </c>
      <c r="U15" s="15">
        <f t="shared" si="10"/>
        <v>2716669.1666666665</v>
      </c>
      <c r="V15" s="15">
        <f t="shared" si="15"/>
        <v>80140</v>
      </c>
      <c r="W15" s="15">
        <f t="shared" si="16"/>
        <v>5240</v>
      </c>
      <c r="X15" s="15">
        <f t="shared" si="17"/>
        <v>122250</v>
      </c>
      <c r="Y15" s="15">
        <f>ROUNDDOWN((U15*4.5%/10),-1)</f>
        <v>12220</v>
      </c>
      <c r="Z15" s="15">
        <v>40000</v>
      </c>
      <c r="AA15" s="15">
        <f>ROUNDDOWN((U15*0.01),-1)</f>
        <v>27160</v>
      </c>
      <c r="AB15" s="15">
        <f>SUM(V15:AA15)</f>
        <v>287010</v>
      </c>
      <c r="AC15" s="39">
        <f>U15-AB15</f>
        <v>2429659.1666666665</v>
      </c>
      <c r="AD15" s="84">
        <f t="shared" si="11"/>
        <v>3444120</v>
      </c>
      <c r="AE15">
        <v>12</v>
      </c>
    </row>
    <row r="16" spans="1:31" ht="34.5" customHeight="1">
      <c r="A16" s="198"/>
      <c r="B16" s="199"/>
      <c r="C16" s="197"/>
      <c r="D16" s="96">
        <v>5</v>
      </c>
      <c r="E16" s="97">
        <v>1755000</v>
      </c>
      <c r="F16" s="95">
        <v>5</v>
      </c>
      <c r="G16" s="98">
        <f t="shared" si="7"/>
        <v>8775000</v>
      </c>
      <c r="H16" s="95"/>
      <c r="I16" s="95"/>
      <c r="J16" s="95">
        <f t="shared" si="14"/>
        <v>3463810</v>
      </c>
      <c r="K16" s="95"/>
      <c r="L16" s="95">
        <f t="shared" si="1"/>
        <v>500000</v>
      </c>
      <c r="M16" s="95">
        <f t="shared" si="2"/>
        <v>200000</v>
      </c>
      <c r="N16" s="117">
        <f t="shared" si="3"/>
        <v>12938810</v>
      </c>
      <c r="O16" s="145"/>
      <c r="P16" s="201">
        <f t="shared" si="8"/>
        <v>4163810</v>
      </c>
      <c r="Q16" s="197"/>
      <c r="R16" s="197"/>
      <c r="S16" s="202">
        <f t="shared" si="9"/>
        <v>0</v>
      </c>
      <c r="T16" s="96">
        <v>4</v>
      </c>
      <c r="U16" s="15">
        <f t="shared" si="10"/>
        <v>0</v>
      </c>
      <c r="V16" s="15">
        <f t="shared" si="15"/>
        <v>0</v>
      </c>
      <c r="W16" s="15">
        <f t="shared" si="16"/>
        <v>0</v>
      </c>
      <c r="X16" s="15">
        <f t="shared" si="17"/>
        <v>0</v>
      </c>
      <c r="Y16" s="15"/>
      <c r="Z16" s="15"/>
      <c r="AA16" s="15"/>
      <c r="AB16" s="15"/>
      <c r="AC16" s="39"/>
      <c r="AD16" s="84">
        <f t="shared" si="11"/>
        <v>0</v>
      </c>
      <c r="AE16">
        <v>12</v>
      </c>
    </row>
    <row r="17" spans="1:31" ht="34.5" customHeight="1">
      <c r="A17" s="194">
        <v>8</v>
      </c>
      <c r="B17" s="195" t="s">
        <v>115</v>
      </c>
      <c r="C17" s="196" t="s">
        <v>120</v>
      </c>
      <c r="D17" s="96">
        <v>4</v>
      </c>
      <c r="E17" s="97">
        <v>1704000</v>
      </c>
      <c r="F17" s="95">
        <v>8</v>
      </c>
      <c r="G17" s="98">
        <f t="shared" si="7"/>
        <v>13632000</v>
      </c>
      <c r="H17" s="95">
        <f>E17*1.2</f>
        <v>2044800</v>
      </c>
      <c r="I17" s="95"/>
      <c r="J17" s="95">
        <f t="shared" si="14"/>
        <v>5381050</v>
      </c>
      <c r="K17" s="95"/>
      <c r="L17" s="95">
        <f t="shared" si="1"/>
        <v>800000</v>
      </c>
      <c r="M17" s="95">
        <f t="shared" si="2"/>
        <v>320000</v>
      </c>
      <c r="N17" s="117">
        <f>SUM(G17:M17)</f>
        <v>22177850</v>
      </c>
      <c r="O17" s="144">
        <f>N17+N18</f>
        <v>32528900</v>
      </c>
      <c r="P17" s="201">
        <f t="shared" si="8"/>
        <v>8545850</v>
      </c>
      <c r="Q17" s="196" t="s">
        <v>120</v>
      </c>
      <c r="R17" s="196" t="s">
        <v>115</v>
      </c>
      <c r="S17" s="202" t="str">
        <f t="shared" si="9"/>
        <v>이종영</v>
      </c>
      <c r="T17" s="96">
        <v>3</v>
      </c>
      <c r="U17" s="15">
        <f t="shared" si="10"/>
        <v>2710741.6666666665</v>
      </c>
      <c r="V17" s="15">
        <f t="shared" si="15"/>
        <v>79960</v>
      </c>
      <c r="W17" s="15">
        <f t="shared" si="16"/>
        <v>5230</v>
      </c>
      <c r="X17" s="15">
        <f t="shared" si="17"/>
        <v>121980</v>
      </c>
      <c r="Y17" s="15">
        <f>ROUNDDOWN((U17*4.5%/10),-1)</f>
        <v>12190</v>
      </c>
      <c r="Z17" s="15">
        <v>40000</v>
      </c>
      <c r="AA17" s="15">
        <f>ROUNDDOWN((U17*0.01),-1)</f>
        <v>27100</v>
      </c>
      <c r="AB17" s="15">
        <f>SUM(V17:AA17)</f>
        <v>286460</v>
      </c>
      <c r="AC17" s="39">
        <f>U17-AB17</f>
        <v>2424281.6666666665</v>
      </c>
      <c r="AD17" s="84">
        <f t="shared" si="11"/>
        <v>3437520</v>
      </c>
      <c r="AE17">
        <v>12</v>
      </c>
    </row>
    <row r="18" spans="1:31" ht="34.5" customHeight="1">
      <c r="A18" s="198"/>
      <c r="B18" s="199"/>
      <c r="C18" s="197"/>
      <c r="D18" s="96">
        <v>5</v>
      </c>
      <c r="E18" s="97">
        <v>1755000</v>
      </c>
      <c r="F18" s="95">
        <v>4</v>
      </c>
      <c r="G18" s="98">
        <f t="shared" si="7"/>
        <v>7020000</v>
      </c>
      <c r="H18" s="95"/>
      <c r="I18" s="95"/>
      <c r="J18" s="95">
        <f t="shared" si="14"/>
        <v>2771050</v>
      </c>
      <c r="K18" s="95"/>
      <c r="L18" s="95">
        <f t="shared" si="1"/>
        <v>400000</v>
      </c>
      <c r="M18" s="95">
        <f t="shared" si="2"/>
        <v>160000</v>
      </c>
      <c r="N18" s="117">
        <f>SUM(G18:M18)</f>
        <v>10351050</v>
      </c>
      <c r="O18" s="145"/>
      <c r="P18" s="201">
        <f t="shared" si="8"/>
        <v>3331050</v>
      </c>
      <c r="Q18" s="197"/>
      <c r="R18" s="197"/>
      <c r="S18" s="202">
        <f t="shared" si="9"/>
        <v>0</v>
      </c>
      <c r="T18" s="96">
        <v>4</v>
      </c>
      <c r="U18" s="15">
        <f t="shared" si="10"/>
        <v>0</v>
      </c>
      <c r="V18" s="15">
        <f t="shared" si="15"/>
        <v>0</v>
      </c>
      <c r="W18" s="15">
        <f t="shared" si="16"/>
        <v>0</v>
      </c>
      <c r="X18" s="15">
        <f t="shared" si="17"/>
        <v>0</v>
      </c>
      <c r="Y18" s="15"/>
      <c r="Z18" s="15"/>
      <c r="AA18" s="15"/>
      <c r="AB18" s="15"/>
      <c r="AC18" s="39"/>
      <c r="AD18" s="84">
        <f t="shared" si="11"/>
        <v>0</v>
      </c>
      <c r="AE18">
        <v>12</v>
      </c>
    </row>
    <row r="19" spans="1:31" ht="34.5" customHeight="1">
      <c r="A19" s="194">
        <v>9</v>
      </c>
      <c r="B19" s="195" t="s">
        <v>115</v>
      </c>
      <c r="C19" s="196" t="s">
        <v>69</v>
      </c>
      <c r="D19" s="96">
        <v>4</v>
      </c>
      <c r="E19" s="97">
        <v>1704000</v>
      </c>
      <c r="F19" s="95">
        <v>12</v>
      </c>
      <c r="G19" s="98">
        <f>E19*F19</f>
        <v>20448000</v>
      </c>
      <c r="H19" s="95">
        <f>E19*1.2</f>
        <v>2044800</v>
      </c>
      <c r="I19" s="95"/>
      <c r="J19" s="95">
        <f t="shared" si="14"/>
        <v>8071570</v>
      </c>
      <c r="K19" s="95">
        <f>F19*80000</f>
        <v>960000</v>
      </c>
      <c r="L19" s="95">
        <f>100000*F19</f>
        <v>1200000</v>
      </c>
      <c r="M19" s="95">
        <f>40000*F19</f>
        <v>480000</v>
      </c>
      <c r="N19" s="117">
        <f>SUM(G19:M19)</f>
        <v>33204370</v>
      </c>
      <c r="O19" s="144">
        <f>N19</f>
        <v>33204370</v>
      </c>
      <c r="P19" s="201">
        <f t="shared" si="8"/>
        <v>12756370</v>
      </c>
      <c r="Q19" s="196" t="s">
        <v>121</v>
      </c>
      <c r="R19" s="184" t="s">
        <v>115</v>
      </c>
      <c r="S19" s="202" t="str">
        <f t="shared" si="9"/>
        <v>오재흠</v>
      </c>
      <c r="T19" s="96">
        <v>10</v>
      </c>
      <c r="U19" s="15">
        <f t="shared" si="10"/>
        <v>2767030.8333333335</v>
      </c>
      <c r="V19" s="15">
        <f t="shared" si="15"/>
        <v>81620</v>
      </c>
      <c r="W19" s="15">
        <f t="shared" si="16"/>
        <v>5340</v>
      </c>
      <c r="X19" s="15">
        <f t="shared" si="17"/>
        <v>124510</v>
      </c>
      <c r="Y19" s="15">
        <f>ROUNDDOWN((U19*4.5%/10),-1)</f>
        <v>12450</v>
      </c>
      <c r="Z19" s="15">
        <v>40000</v>
      </c>
      <c r="AA19" s="15">
        <f>ROUNDDOWN((U19*0.01),-1)</f>
        <v>27670</v>
      </c>
      <c r="AB19" s="15">
        <f>SUM(V19:AA19)</f>
        <v>291590</v>
      </c>
      <c r="AC19" s="39"/>
      <c r="AD19" s="84">
        <f t="shared" si="11"/>
        <v>3499080</v>
      </c>
      <c r="AE19">
        <v>12</v>
      </c>
    </row>
    <row r="20" spans="1:31" ht="34.5" customHeight="1">
      <c r="A20" s="214">
        <v>10</v>
      </c>
      <c r="B20" s="210" t="s">
        <v>177</v>
      </c>
      <c r="C20" s="206" t="s">
        <v>123</v>
      </c>
      <c r="D20" s="118">
        <v>5</v>
      </c>
      <c r="E20" s="97">
        <v>1755000</v>
      </c>
      <c r="F20" s="95">
        <v>1</v>
      </c>
      <c r="G20" s="98">
        <f>E20*F20</f>
        <v>1755000</v>
      </c>
      <c r="H20" s="95">
        <f>E20*1.2</f>
        <v>2106000</v>
      </c>
      <c r="I20" s="95"/>
      <c r="J20" s="95">
        <f t="shared" si="14"/>
        <v>692760</v>
      </c>
      <c r="K20" s="95"/>
      <c r="L20" s="95">
        <f>100000*F20</f>
        <v>100000</v>
      </c>
      <c r="M20" s="95">
        <f>40000*F20</f>
        <v>40000</v>
      </c>
      <c r="N20" s="117">
        <f>SUM(G20:M20)</f>
        <v>4693760</v>
      </c>
      <c r="O20" s="144">
        <f>N20+N21</f>
        <v>34770070</v>
      </c>
      <c r="P20" s="201">
        <f t="shared" si="8"/>
        <v>2938760</v>
      </c>
      <c r="Q20" s="206" t="s">
        <v>123</v>
      </c>
      <c r="R20" s="196" t="s">
        <v>115</v>
      </c>
      <c r="S20" s="202" t="str">
        <f t="shared" si="9"/>
        <v>김민지</v>
      </c>
      <c r="T20" s="96">
        <v>3</v>
      </c>
      <c r="U20" s="15">
        <f t="shared" si="10"/>
        <v>2897505.8333333335</v>
      </c>
      <c r="V20" s="15">
        <f t="shared" si="15"/>
        <v>85470</v>
      </c>
      <c r="W20" s="15">
        <f t="shared" si="16"/>
        <v>5590</v>
      </c>
      <c r="X20" s="15">
        <f t="shared" si="17"/>
        <v>130380</v>
      </c>
      <c r="Y20" s="15">
        <f>ROUNDDOWN((U20*4.5%/10),-1)</f>
        <v>13030</v>
      </c>
      <c r="Z20" s="15">
        <v>40000</v>
      </c>
      <c r="AA20" s="15">
        <f>ROUNDDOWN((U20*0.01),-1)</f>
        <v>28970</v>
      </c>
      <c r="AB20" s="15">
        <f>SUM(V20:AA20)</f>
        <v>303440</v>
      </c>
      <c r="AC20" s="39">
        <f>U20-AB20</f>
        <v>2594065.8333333335</v>
      </c>
      <c r="AD20" s="84">
        <f t="shared" si="11"/>
        <v>3641280</v>
      </c>
      <c r="AE20">
        <v>12</v>
      </c>
    </row>
    <row r="21" spans="1:31" ht="34.5" customHeight="1">
      <c r="A21" s="215"/>
      <c r="B21" s="211"/>
      <c r="C21" s="207"/>
      <c r="D21" s="118">
        <v>6</v>
      </c>
      <c r="E21" s="97">
        <v>1860000</v>
      </c>
      <c r="F21" s="95">
        <v>11</v>
      </c>
      <c r="G21" s="98">
        <f>E21*F21</f>
        <v>20460000</v>
      </c>
      <c r="H21" s="95"/>
      <c r="I21" s="95"/>
      <c r="J21" s="95">
        <f t="shared" si="14"/>
        <v>8076310</v>
      </c>
      <c r="K21" s="95"/>
      <c r="L21" s="95">
        <f>100000*F21</f>
        <v>1100000</v>
      </c>
      <c r="M21" s="95">
        <f>40000*F21</f>
        <v>440000</v>
      </c>
      <c r="N21" s="117">
        <f>SUM(G21:M21)</f>
        <v>30076310</v>
      </c>
      <c r="O21" s="145"/>
      <c r="P21" s="201">
        <f t="shared" si="8"/>
        <v>9616310</v>
      </c>
      <c r="Q21" s="207"/>
      <c r="R21" s="197"/>
      <c r="S21" s="202">
        <f t="shared" si="9"/>
        <v>0</v>
      </c>
      <c r="T21" s="96">
        <v>4</v>
      </c>
      <c r="U21" s="15">
        <f t="shared" si="10"/>
        <v>0</v>
      </c>
      <c r="V21" s="15">
        <f t="shared" si="15"/>
        <v>0</v>
      </c>
      <c r="W21" s="15">
        <f t="shared" si="16"/>
        <v>0</v>
      </c>
      <c r="X21" s="15">
        <f t="shared" si="17"/>
        <v>0</v>
      </c>
      <c r="Y21" s="15"/>
      <c r="Z21" s="15"/>
      <c r="AA21" s="15"/>
      <c r="AB21" s="15"/>
      <c r="AC21" s="39"/>
      <c r="AD21" s="84">
        <f t="shared" si="11"/>
        <v>0</v>
      </c>
      <c r="AE21">
        <v>12</v>
      </c>
    </row>
    <row r="22" spans="1:31" ht="34.5" customHeight="1">
      <c r="A22" s="214">
        <v>11</v>
      </c>
      <c r="B22" s="195" t="s">
        <v>115</v>
      </c>
      <c r="C22" s="196" t="s">
        <v>124</v>
      </c>
      <c r="D22" s="96">
        <v>5</v>
      </c>
      <c r="E22" s="97">
        <v>1755000</v>
      </c>
      <c r="F22" s="95">
        <v>8</v>
      </c>
      <c r="G22" s="98">
        <f t="shared" si="7"/>
        <v>14040000</v>
      </c>
      <c r="H22" s="95">
        <f>E22*1.2</f>
        <v>2106000</v>
      </c>
      <c r="I22" s="95"/>
      <c r="J22" s="95">
        <f t="shared" si="14"/>
        <v>5542100</v>
      </c>
      <c r="K22" s="95">
        <v>280000</v>
      </c>
      <c r="L22" s="95">
        <f t="shared" si="1"/>
        <v>800000</v>
      </c>
      <c r="M22" s="95">
        <f t="shared" si="2"/>
        <v>320000</v>
      </c>
      <c r="N22" s="117">
        <f t="shared" si="3"/>
        <v>23088100</v>
      </c>
      <c r="O22" s="144">
        <f>N22+N23</f>
        <v>34024940</v>
      </c>
      <c r="P22" s="201">
        <f t="shared" si="8"/>
        <v>9048100</v>
      </c>
      <c r="Q22" s="196" t="s">
        <v>124</v>
      </c>
      <c r="R22" s="196" t="s">
        <v>115</v>
      </c>
      <c r="S22" s="202" t="str">
        <f t="shared" si="9"/>
        <v>손성호</v>
      </c>
      <c r="T22" s="96">
        <v>3</v>
      </c>
      <c r="U22" s="15">
        <f t="shared" si="10"/>
        <v>2835411.6666666665</v>
      </c>
      <c r="V22" s="15">
        <f t="shared" si="15"/>
        <v>83640</v>
      </c>
      <c r="W22" s="15">
        <f t="shared" si="16"/>
        <v>5470</v>
      </c>
      <c r="X22" s="15">
        <f t="shared" si="17"/>
        <v>127590</v>
      </c>
      <c r="Y22" s="15">
        <f>ROUNDDOWN((U22*4.5%/10),-1)</f>
        <v>12750</v>
      </c>
      <c r="Z22" s="15">
        <v>40000</v>
      </c>
      <c r="AA22" s="15">
        <f>ROUNDDOWN((U22*0.01),-1)</f>
        <v>28350</v>
      </c>
      <c r="AB22" s="15">
        <f>SUM(V22:AA22)</f>
        <v>297800</v>
      </c>
      <c r="AC22" s="39">
        <f>U22-AB22</f>
        <v>2537611.6666666665</v>
      </c>
      <c r="AD22" s="84">
        <f t="shared" si="11"/>
        <v>3573600</v>
      </c>
      <c r="AE22">
        <v>12</v>
      </c>
    </row>
    <row r="23" spans="1:31" ht="34.5" customHeight="1">
      <c r="A23" s="215"/>
      <c r="B23" s="199"/>
      <c r="C23" s="197"/>
      <c r="D23" s="96">
        <v>6</v>
      </c>
      <c r="E23" s="97">
        <v>1860000</v>
      </c>
      <c r="F23" s="95">
        <v>4</v>
      </c>
      <c r="G23" s="98">
        <f t="shared" si="7"/>
        <v>7440000</v>
      </c>
      <c r="H23" s="95"/>
      <c r="I23" s="95"/>
      <c r="J23" s="95">
        <f t="shared" si="14"/>
        <v>2936840</v>
      </c>
      <c r="K23" s="95"/>
      <c r="L23" s="95">
        <f t="shared" si="1"/>
        <v>400000</v>
      </c>
      <c r="M23" s="95">
        <f t="shared" si="2"/>
        <v>160000</v>
      </c>
      <c r="N23" s="117">
        <f t="shared" si="3"/>
        <v>10936840</v>
      </c>
      <c r="O23" s="145"/>
      <c r="P23" s="201">
        <f t="shared" si="8"/>
        <v>3496840</v>
      </c>
      <c r="Q23" s="197"/>
      <c r="R23" s="197"/>
      <c r="S23" s="202">
        <f t="shared" si="9"/>
        <v>0</v>
      </c>
      <c r="T23" s="96">
        <v>4</v>
      </c>
      <c r="U23" s="15">
        <f t="shared" si="10"/>
        <v>0</v>
      </c>
      <c r="V23" s="15">
        <f t="shared" si="15"/>
        <v>0</v>
      </c>
      <c r="W23" s="15">
        <f t="shared" si="16"/>
        <v>0</v>
      </c>
      <c r="X23" s="15">
        <f t="shared" si="17"/>
        <v>0</v>
      </c>
      <c r="Y23" s="15"/>
      <c r="Z23" s="15"/>
      <c r="AA23" s="15"/>
      <c r="AB23" s="15"/>
      <c r="AC23" s="39"/>
      <c r="AD23" s="84">
        <f t="shared" si="11"/>
        <v>0</v>
      </c>
      <c r="AE23">
        <v>12</v>
      </c>
    </row>
    <row r="24" spans="1:31" ht="34.5" customHeight="1">
      <c r="A24" s="214">
        <v>12</v>
      </c>
      <c r="B24" s="210" t="s">
        <v>177</v>
      </c>
      <c r="C24" s="206" t="s">
        <v>125</v>
      </c>
      <c r="D24" s="189">
        <v>1</v>
      </c>
      <c r="E24" s="190">
        <v>1554000</v>
      </c>
      <c r="F24" s="191">
        <v>3</v>
      </c>
      <c r="G24" s="192">
        <f t="shared" si="7"/>
        <v>4662000</v>
      </c>
      <c r="H24" s="191">
        <f>E24*0.6</f>
        <v>932400</v>
      </c>
      <c r="I24" s="191"/>
      <c r="J24" s="191">
        <f t="shared" si="14"/>
        <v>1840260</v>
      </c>
      <c r="K24" s="191"/>
      <c r="L24" s="191">
        <f t="shared" si="1"/>
        <v>300000</v>
      </c>
      <c r="M24" s="191">
        <f t="shared" si="2"/>
        <v>120000</v>
      </c>
      <c r="N24" s="193">
        <f t="shared" si="3"/>
        <v>7854660</v>
      </c>
      <c r="O24" s="144">
        <f>N24+N25</f>
        <v>30185170</v>
      </c>
      <c r="P24" s="201">
        <f t="shared" si="8"/>
        <v>3192660</v>
      </c>
      <c r="Q24" s="206" t="s">
        <v>125</v>
      </c>
      <c r="R24" s="196" t="s">
        <v>115</v>
      </c>
      <c r="S24" s="202" t="str">
        <f t="shared" si="9"/>
        <v>박민지</v>
      </c>
      <c r="T24" s="96">
        <v>3</v>
      </c>
      <c r="U24" s="15">
        <f t="shared" si="10"/>
        <v>2515430.8333333335</v>
      </c>
      <c r="V24" s="15">
        <f t="shared" si="15"/>
        <v>74200</v>
      </c>
      <c r="W24" s="15">
        <f t="shared" si="16"/>
        <v>4860</v>
      </c>
      <c r="X24" s="15">
        <f t="shared" si="17"/>
        <v>113190</v>
      </c>
      <c r="Y24" s="15">
        <f>ROUNDDOWN((U24*4.5%/10),-1)</f>
        <v>11310</v>
      </c>
      <c r="Z24" s="15">
        <v>40000</v>
      </c>
      <c r="AA24" s="15">
        <f>ROUNDDOWN((U24*0.01),-1)</f>
        <v>25150</v>
      </c>
      <c r="AB24" s="15">
        <f>SUM(V24:AA24)</f>
        <v>268710</v>
      </c>
      <c r="AC24" s="39">
        <f>U24-AB24</f>
        <v>2246720.8333333335</v>
      </c>
      <c r="AD24" s="84">
        <f t="shared" si="11"/>
        <v>3224520</v>
      </c>
      <c r="AE24">
        <v>12</v>
      </c>
    </row>
    <row r="25" spans="1:31" ht="34.5" customHeight="1">
      <c r="A25" s="215"/>
      <c r="B25" s="211"/>
      <c r="C25" s="207"/>
      <c r="D25" s="189">
        <v>2</v>
      </c>
      <c r="E25" s="190">
        <v>1602000</v>
      </c>
      <c r="F25" s="191">
        <v>9</v>
      </c>
      <c r="G25" s="192">
        <f t="shared" si="7"/>
        <v>14418000</v>
      </c>
      <c r="H25" s="191">
        <f>E25*0.6</f>
        <v>961200</v>
      </c>
      <c r="I25" s="191"/>
      <c r="J25" s="191">
        <f t="shared" si="14"/>
        <v>5691310</v>
      </c>
      <c r="K25" s="191"/>
      <c r="L25" s="191">
        <f t="shared" si="1"/>
        <v>900000</v>
      </c>
      <c r="M25" s="191">
        <f t="shared" si="2"/>
        <v>360000</v>
      </c>
      <c r="N25" s="193">
        <f t="shared" si="3"/>
        <v>22330510</v>
      </c>
      <c r="O25" s="145"/>
      <c r="P25" s="201">
        <f t="shared" si="8"/>
        <v>7912510</v>
      </c>
      <c r="Q25" s="207"/>
      <c r="R25" s="197"/>
      <c r="S25" s="202">
        <f t="shared" si="9"/>
        <v>0</v>
      </c>
      <c r="T25" s="96">
        <v>4</v>
      </c>
      <c r="U25" s="15">
        <f t="shared" si="10"/>
        <v>0</v>
      </c>
      <c r="V25" s="15">
        <f t="shared" si="15"/>
        <v>0</v>
      </c>
      <c r="W25" s="15">
        <f t="shared" si="16"/>
        <v>0</v>
      </c>
      <c r="X25" s="15">
        <f t="shared" si="17"/>
        <v>0</v>
      </c>
      <c r="Y25" s="15"/>
      <c r="Z25" s="15"/>
      <c r="AA25" s="15"/>
      <c r="AB25" s="15"/>
      <c r="AC25" s="39"/>
      <c r="AD25" s="84">
        <f t="shared" si="11"/>
        <v>0</v>
      </c>
      <c r="AE25">
        <v>12</v>
      </c>
    </row>
    <row r="26" spans="1:31" ht="34.5" customHeight="1">
      <c r="A26" s="214">
        <v>13</v>
      </c>
      <c r="B26" s="210" t="s">
        <v>177</v>
      </c>
      <c r="C26" s="206" t="s">
        <v>126</v>
      </c>
      <c r="D26" s="96">
        <v>5</v>
      </c>
      <c r="E26" s="97">
        <v>1755000</v>
      </c>
      <c r="F26" s="95">
        <v>7</v>
      </c>
      <c r="G26" s="98">
        <f>E26*F26</f>
        <v>12285000</v>
      </c>
      <c r="H26" s="95">
        <f>E26*1.2</f>
        <v>2106000</v>
      </c>
      <c r="I26" s="95"/>
      <c r="J26" s="95">
        <f t="shared" si="14"/>
        <v>4849340</v>
      </c>
      <c r="K26" s="95"/>
      <c r="L26" s="95">
        <f>100000*F26</f>
        <v>700000</v>
      </c>
      <c r="M26" s="95">
        <f>40000*F26</f>
        <v>280000</v>
      </c>
      <c r="N26" s="117">
        <f>SUM(G26:M26)</f>
        <v>20220340</v>
      </c>
      <c r="O26" s="144">
        <f>N26+N27</f>
        <v>33891390</v>
      </c>
      <c r="P26" s="201">
        <f t="shared" si="8"/>
        <v>7935340</v>
      </c>
      <c r="Q26" s="206" t="s">
        <v>126</v>
      </c>
      <c r="R26" s="196" t="s">
        <v>115</v>
      </c>
      <c r="S26" s="202" t="str">
        <f t="shared" si="9"/>
        <v>정동민</v>
      </c>
      <c r="T26" s="96">
        <v>3</v>
      </c>
      <c r="U26" s="15">
        <f t="shared" si="10"/>
        <v>2824282.5</v>
      </c>
      <c r="V26" s="15">
        <f t="shared" si="15"/>
        <v>83310</v>
      </c>
      <c r="W26" s="15">
        <f t="shared" si="16"/>
        <v>5450</v>
      </c>
      <c r="X26" s="15">
        <f t="shared" si="17"/>
        <v>127090</v>
      </c>
      <c r="Y26" s="15">
        <f>ROUNDDOWN((U26*4.5%/10),-1)</f>
        <v>12700</v>
      </c>
      <c r="Z26" s="15">
        <v>40000</v>
      </c>
      <c r="AA26" s="15">
        <f>ROUNDDOWN((U26*0.01),-1)</f>
        <v>28240</v>
      </c>
      <c r="AB26" s="15">
        <f>SUM(V26:AA26)</f>
        <v>296790</v>
      </c>
      <c r="AC26" s="39">
        <f>U26-AB26</f>
        <v>2527492.5</v>
      </c>
      <c r="AD26" s="84">
        <f t="shared" si="11"/>
        <v>3561480</v>
      </c>
      <c r="AE26">
        <v>12</v>
      </c>
    </row>
    <row r="27" spans="1:31" ht="34.5" customHeight="1">
      <c r="A27" s="215"/>
      <c r="B27" s="211"/>
      <c r="C27" s="207"/>
      <c r="D27" s="96">
        <v>6</v>
      </c>
      <c r="E27" s="97">
        <v>1860000</v>
      </c>
      <c r="F27" s="95">
        <v>5</v>
      </c>
      <c r="G27" s="98">
        <f>E27*F27</f>
        <v>9300000</v>
      </c>
      <c r="H27" s="95"/>
      <c r="I27" s="95"/>
      <c r="J27" s="95">
        <f t="shared" si="14"/>
        <v>3671050</v>
      </c>
      <c r="K27" s="95"/>
      <c r="L27" s="95">
        <f>100000*F27</f>
        <v>500000</v>
      </c>
      <c r="M27" s="95">
        <f>40000*F27</f>
        <v>200000</v>
      </c>
      <c r="N27" s="117">
        <f>SUM(G27:M27)</f>
        <v>13671050</v>
      </c>
      <c r="O27" s="145"/>
      <c r="P27" s="201">
        <f t="shared" si="8"/>
        <v>4371050</v>
      </c>
      <c r="Q27" s="207"/>
      <c r="R27" s="197"/>
      <c r="S27" s="202">
        <f t="shared" si="9"/>
        <v>0</v>
      </c>
      <c r="T27" s="96">
        <v>4</v>
      </c>
      <c r="U27" s="15">
        <f t="shared" si="10"/>
        <v>0</v>
      </c>
      <c r="V27" s="15">
        <f t="shared" si="15"/>
        <v>0</v>
      </c>
      <c r="W27" s="15">
        <f t="shared" si="16"/>
        <v>0</v>
      </c>
      <c r="X27" s="15">
        <f t="shared" si="17"/>
        <v>0</v>
      </c>
      <c r="Y27" s="15"/>
      <c r="Z27" s="15"/>
      <c r="AA27" s="15"/>
      <c r="AB27" s="15"/>
      <c r="AC27" s="39"/>
      <c r="AD27" s="84">
        <f t="shared" si="11"/>
        <v>0</v>
      </c>
      <c r="AE27">
        <v>12</v>
      </c>
    </row>
    <row r="28" spans="1:31" ht="34.5" customHeight="1">
      <c r="A28" s="485">
        <v>14</v>
      </c>
      <c r="B28" s="210" t="s">
        <v>177</v>
      </c>
      <c r="C28" s="206" t="s">
        <v>182</v>
      </c>
      <c r="D28" s="96">
        <v>4</v>
      </c>
      <c r="E28" s="97">
        <v>1704000</v>
      </c>
      <c r="F28" s="95"/>
      <c r="G28" s="98">
        <f>E28*F28</f>
        <v>0</v>
      </c>
      <c r="H28" s="95"/>
      <c r="I28" s="95"/>
      <c r="J28" s="95">
        <f>ROUNDDOWN((G28*55/209*1.5),-1)</f>
        <v>0</v>
      </c>
      <c r="K28" s="95"/>
      <c r="L28" s="95">
        <f>100000*F28</f>
        <v>0</v>
      </c>
      <c r="M28" s="95">
        <f>40000*F28</f>
        <v>0</v>
      </c>
      <c r="N28" s="117">
        <f>SUM(G28:M28)</f>
        <v>0</v>
      </c>
      <c r="O28" s="144">
        <f>N28+N29</f>
        <v>25877630</v>
      </c>
      <c r="P28" s="201">
        <f>SUM(H28:M28)</f>
        <v>0</v>
      </c>
      <c r="Q28" s="206" t="s">
        <v>126</v>
      </c>
      <c r="R28" s="196" t="s">
        <v>115</v>
      </c>
      <c r="S28" s="202" t="str">
        <f>Q28</f>
        <v>정동민</v>
      </c>
      <c r="T28" s="96">
        <v>3</v>
      </c>
      <c r="U28" s="15">
        <f>O28/AE28</f>
        <v>2156469.1666666665</v>
      </c>
      <c r="V28" s="15">
        <f>ROUNDDOWN((U28*$E$46),-1)</f>
        <v>63610</v>
      </c>
      <c r="W28" s="15">
        <f>ROUNDDOWN((V28*$E$47),-1)</f>
        <v>4160</v>
      </c>
      <c r="X28" s="15">
        <f>ROUNDDOWN((U28*$E$48),-1)</f>
        <v>97040</v>
      </c>
      <c r="Y28" s="15">
        <f>ROUNDDOWN((U28*4.5%/10),-1)</f>
        <v>9700</v>
      </c>
      <c r="Z28" s="15">
        <v>40000</v>
      </c>
      <c r="AA28" s="15">
        <f>ROUNDDOWN((U28*0.01),-1)</f>
        <v>21560</v>
      </c>
      <c r="AB28" s="15">
        <f>SUM(V28:AA28)</f>
        <v>236070</v>
      </c>
      <c r="AC28" s="39">
        <f>U28-AB28</f>
        <v>1920399.1666666665</v>
      </c>
      <c r="AD28" s="84">
        <f>AB28*AE28</f>
        <v>2832840</v>
      </c>
      <c r="AE28">
        <v>12</v>
      </c>
    </row>
    <row r="29" spans="1:31" ht="34.5" customHeight="1">
      <c r="A29" s="486"/>
      <c r="B29" s="211"/>
      <c r="C29" s="207"/>
      <c r="D29" s="96">
        <v>5</v>
      </c>
      <c r="E29" s="97">
        <v>1755000</v>
      </c>
      <c r="F29" s="95">
        <v>10</v>
      </c>
      <c r="G29" s="98">
        <f>E29*F29</f>
        <v>17550000</v>
      </c>
      <c r="H29" s="95"/>
      <c r="I29" s="95"/>
      <c r="J29" s="95">
        <f>ROUNDDOWN((G29*55/209*1.5),-1)</f>
        <v>6927630</v>
      </c>
      <c r="K29" s="95"/>
      <c r="L29" s="95">
        <f>100000*F29</f>
        <v>1000000</v>
      </c>
      <c r="M29" s="95">
        <f>40000*F29</f>
        <v>400000</v>
      </c>
      <c r="N29" s="117">
        <f>SUM(G29:M29)</f>
        <v>25877630</v>
      </c>
      <c r="O29" s="145"/>
      <c r="P29" s="201">
        <f>SUM(H29:M29)</f>
        <v>8327630</v>
      </c>
      <c r="Q29" s="207"/>
      <c r="R29" s="197"/>
      <c r="S29" s="202">
        <f>Q29</f>
        <v>0</v>
      </c>
      <c r="T29" s="96">
        <v>4</v>
      </c>
      <c r="U29" s="15">
        <f>O29/AE29</f>
        <v>0</v>
      </c>
      <c r="V29" s="15">
        <f>ROUNDDOWN((U29*$E$46),-1)</f>
        <v>0</v>
      </c>
      <c r="W29" s="15">
        <f>ROUNDDOWN((V29*$E$47),-1)</f>
        <v>0</v>
      </c>
      <c r="X29" s="15">
        <f>ROUNDDOWN((U29*$E$48),-1)</f>
        <v>0</v>
      </c>
      <c r="Y29" s="15"/>
      <c r="Z29" s="15"/>
      <c r="AA29" s="15"/>
      <c r="AB29" s="15"/>
      <c r="AC29" s="39"/>
      <c r="AD29" s="84">
        <f>AB29*AE29</f>
        <v>0</v>
      </c>
      <c r="AE29">
        <v>12</v>
      </c>
    </row>
    <row r="30" spans="1:31" ht="34.5" customHeight="1">
      <c r="A30" s="186">
        <v>15</v>
      </c>
      <c r="B30" s="187" t="s">
        <v>171</v>
      </c>
      <c r="C30" s="188" t="s">
        <v>170</v>
      </c>
      <c r="D30" s="118">
        <v>5</v>
      </c>
      <c r="E30" s="119">
        <v>1978000</v>
      </c>
      <c r="F30" s="120">
        <v>12</v>
      </c>
      <c r="G30" s="121">
        <f t="shared" si="7"/>
        <v>23736000</v>
      </c>
      <c r="H30" s="120">
        <f>E30*1.2</f>
        <v>2373600</v>
      </c>
      <c r="I30" s="120"/>
      <c r="J30" s="120">
        <f>ROUNDDOWN((G30*35/209*1.5),-1)</f>
        <v>5962390</v>
      </c>
      <c r="K30" s="120"/>
      <c r="L30" s="120">
        <f t="shared" si="1"/>
        <v>1200000</v>
      </c>
      <c r="M30" s="120">
        <f t="shared" si="2"/>
        <v>480000</v>
      </c>
      <c r="N30" s="122">
        <f t="shared" si="3"/>
        <v>33751990</v>
      </c>
      <c r="O30" s="144">
        <f>N30</f>
        <v>33751990</v>
      </c>
      <c r="P30" s="201">
        <f t="shared" si="8"/>
        <v>10015990</v>
      </c>
      <c r="Q30" s="188" t="s">
        <v>170</v>
      </c>
      <c r="R30" s="188" t="s">
        <v>122</v>
      </c>
      <c r="S30" s="202" t="str">
        <f t="shared" si="9"/>
        <v>신규</v>
      </c>
      <c r="T30" s="118">
        <v>1</v>
      </c>
      <c r="U30" s="15">
        <f t="shared" si="10"/>
        <v>2812665.8333333335</v>
      </c>
      <c r="V30" s="15">
        <f aca="true" t="shared" si="18" ref="V30:V42">ROUNDDOWN((U30*$E$46),-1)</f>
        <v>82970</v>
      </c>
      <c r="W30" s="15">
        <f aca="true" t="shared" si="19" ref="W30:W42">ROUNDDOWN((V30*$E$47),-1)</f>
        <v>5430</v>
      </c>
      <c r="X30" s="15">
        <f aca="true" t="shared" si="20" ref="X30:X42">ROUNDDOWN((U30*$E$48),-1)</f>
        <v>126560</v>
      </c>
      <c r="Y30" s="15">
        <f>ROUNDDOWN((U30*4.5%/10),-1)</f>
        <v>12650</v>
      </c>
      <c r="Z30" s="15">
        <v>40000</v>
      </c>
      <c r="AA30" s="15">
        <f>ROUNDDOWN((U30*0.01),-1)</f>
        <v>28120</v>
      </c>
      <c r="AB30" s="15">
        <f>SUM(V30:AA30)</f>
        <v>295730</v>
      </c>
      <c r="AC30" s="39">
        <f>U30-AB30</f>
        <v>2516935.8333333335</v>
      </c>
      <c r="AD30" s="84">
        <f t="shared" si="11"/>
        <v>3548760</v>
      </c>
      <c r="AE30">
        <v>12</v>
      </c>
    </row>
    <row r="31" spans="1:31" ht="34.5" customHeight="1">
      <c r="A31" s="194">
        <v>16</v>
      </c>
      <c r="B31" s="195" t="s">
        <v>127</v>
      </c>
      <c r="C31" s="196" t="s">
        <v>128</v>
      </c>
      <c r="D31" s="96">
        <v>2</v>
      </c>
      <c r="E31" s="97">
        <v>1415000</v>
      </c>
      <c r="F31" s="95">
        <v>3</v>
      </c>
      <c r="G31" s="98">
        <f t="shared" si="7"/>
        <v>4245000</v>
      </c>
      <c r="H31" s="95">
        <f>E31*0.6</f>
        <v>849000</v>
      </c>
      <c r="I31" s="95"/>
      <c r="J31" s="95">
        <f>ROUNDDOWN((G31*55/209*1.5),-1)</f>
        <v>1675650</v>
      </c>
      <c r="K31" s="95"/>
      <c r="L31" s="95">
        <f t="shared" si="1"/>
        <v>300000</v>
      </c>
      <c r="M31" s="95"/>
      <c r="N31" s="117">
        <f t="shared" si="3"/>
        <v>7069650</v>
      </c>
      <c r="O31" s="144">
        <f>N31+N32</f>
        <v>27238250</v>
      </c>
      <c r="P31" s="201">
        <f t="shared" si="8"/>
        <v>2824650</v>
      </c>
      <c r="Q31" s="196" t="s">
        <v>128</v>
      </c>
      <c r="R31" s="196" t="s">
        <v>127</v>
      </c>
      <c r="S31" s="202" t="str">
        <f t="shared" si="9"/>
        <v>김봉란</v>
      </c>
      <c r="T31" s="96">
        <v>1</v>
      </c>
      <c r="U31" s="15">
        <f t="shared" si="10"/>
        <v>2269854.1666666665</v>
      </c>
      <c r="V31" s="15">
        <f t="shared" si="18"/>
        <v>66960</v>
      </c>
      <c r="W31" s="15">
        <f t="shared" si="19"/>
        <v>4380</v>
      </c>
      <c r="X31" s="15">
        <f t="shared" si="20"/>
        <v>102140</v>
      </c>
      <c r="Y31" s="15">
        <f>ROUNDDOWN((U31*4.5%/10),-1)</f>
        <v>10210</v>
      </c>
      <c r="Z31" s="15">
        <v>40000</v>
      </c>
      <c r="AA31" s="15">
        <f>ROUNDDOWN((U31*0.01),-1)</f>
        <v>22690</v>
      </c>
      <c r="AB31" s="15">
        <f>SUM(V31:AA31)</f>
        <v>246380</v>
      </c>
      <c r="AC31" s="39">
        <f>U31-AB31</f>
        <v>2023474.1666666665</v>
      </c>
      <c r="AD31" s="84">
        <f t="shared" si="11"/>
        <v>2956560</v>
      </c>
      <c r="AE31">
        <v>12</v>
      </c>
    </row>
    <row r="32" spans="1:31" ht="34.5" customHeight="1">
      <c r="A32" s="198"/>
      <c r="B32" s="199"/>
      <c r="C32" s="197"/>
      <c r="D32" s="96">
        <v>3</v>
      </c>
      <c r="E32" s="97">
        <v>1465000</v>
      </c>
      <c r="F32" s="95">
        <v>9</v>
      </c>
      <c r="G32" s="98">
        <f t="shared" si="7"/>
        <v>13185000</v>
      </c>
      <c r="H32" s="95">
        <f aca="true" t="shared" si="21" ref="H32:H40">E32*0.6</f>
        <v>879000</v>
      </c>
      <c r="I32" s="95"/>
      <c r="J32" s="95">
        <f>ROUNDDOWN((G32*55/209*1.5),-1)</f>
        <v>5204600</v>
      </c>
      <c r="K32" s="95"/>
      <c r="L32" s="95">
        <f t="shared" si="1"/>
        <v>900000</v>
      </c>
      <c r="M32" s="95"/>
      <c r="N32" s="117">
        <f t="shared" si="3"/>
        <v>20168600</v>
      </c>
      <c r="O32" s="145"/>
      <c r="P32" s="201">
        <f t="shared" si="8"/>
        <v>6983600</v>
      </c>
      <c r="Q32" s="197"/>
      <c r="R32" s="197"/>
      <c r="S32" s="202">
        <f t="shared" si="9"/>
        <v>0</v>
      </c>
      <c r="T32" s="96">
        <v>2</v>
      </c>
      <c r="U32" s="15">
        <f t="shared" si="10"/>
        <v>0</v>
      </c>
      <c r="V32" s="15">
        <f t="shared" si="18"/>
        <v>0</v>
      </c>
      <c r="W32" s="15">
        <f t="shared" si="19"/>
        <v>0</v>
      </c>
      <c r="X32" s="15">
        <f t="shared" si="20"/>
        <v>0</v>
      </c>
      <c r="Y32" s="15"/>
      <c r="Z32" s="15"/>
      <c r="AA32" s="15"/>
      <c r="AB32" s="15"/>
      <c r="AC32" s="39"/>
      <c r="AD32" s="84">
        <f t="shared" si="11"/>
        <v>0</v>
      </c>
      <c r="AE32">
        <v>12</v>
      </c>
    </row>
    <row r="33" spans="1:31" ht="34.5" customHeight="1">
      <c r="A33" s="194">
        <v>17</v>
      </c>
      <c r="B33" s="195" t="s">
        <v>127</v>
      </c>
      <c r="C33" s="196" t="s">
        <v>129</v>
      </c>
      <c r="D33" s="96">
        <v>2</v>
      </c>
      <c r="E33" s="97">
        <v>1415000</v>
      </c>
      <c r="F33" s="95">
        <v>9</v>
      </c>
      <c r="G33" s="98">
        <f t="shared" si="7"/>
        <v>12735000</v>
      </c>
      <c r="H33" s="95">
        <f>E33*1.2</f>
        <v>1698000</v>
      </c>
      <c r="I33" s="95"/>
      <c r="J33" s="95">
        <f>ROUNDDOWN((G33*55/209*1.5),-1)</f>
        <v>5026970</v>
      </c>
      <c r="K33" s="95">
        <f>F33*40000</f>
        <v>360000</v>
      </c>
      <c r="L33" s="95">
        <f t="shared" si="1"/>
        <v>900000</v>
      </c>
      <c r="M33" s="95"/>
      <c r="N33" s="117">
        <f t="shared" si="3"/>
        <v>20719970</v>
      </c>
      <c r="O33" s="144">
        <f>N33+N34</f>
        <v>27269830</v>
      </c>
      <c r="P33" s="201">
        <f t="shared" si="8"/>
        <v>7984970</v>
      </c>
      <c r="Q33" s="196" t="s">
        <v>129</v>
      </c>
      <c r="R33" s="196" t="s">
        <v>127</v>
      </c>
      <c r="S33" s="202" t="str">
        <f t="shared" si="9"/>
        <v>서숙재</v>
      </c>
      <c r="T33" s="96">
        <v>1</v>
      </c>
      <c r="U33" s="15">
        <f t="shared" si="10"/>
        <v>2272485.8333333335</v>
      </c>
      <c r="V33" s="15">
        <f t="shared" si="18"/>
        <v>67030</v>
      </c>
      <c r="W33" s="15">
        <f t="shared" si="19"/>
        <v>4390</v>
      </c>
      <c r="X33" s="15">
        <f t="shared" si="20"/>
        <v>102260</v>
      </c>
      <c r="Y33" s="15">
        <f>ROUNDDOWN((U33*4.5%/10),-1)</f>
        <v>10220</v>
      </c>
      <c r="Z33" s="15">
        <v>40000</v>
      </c>
      <c r="AA33" s="15">
        <f>ROUNDDOWN((U33*0.01),-1)</f>
        <v>22720</v>
      </c>
      <c r="AB33" s="15">
        <f>SUM(V33:AA33)</f>
        <v>246620</v>
      </c>
      <c r="AC33" s="39">
        <f>U33-AB33</f>
        <v>2025865.8333333335</v>
      </c>
      <c r="AD33" s="84">
        <f t="shared" si="11"/>
        <v>2959440</v>
      </c>
      <c r="AE33">
        <v>12</v>
      </c>
    </row>
    <row r="34" spans="1:31" ht="34.5" customHeight="1">
      <c r="A34" s="198"/>
      <c r="B34" s="199"/>
      <c r="C34" s="197"/>
      <c r="D34" s="96">
        <v>3</v>
      </c>
      <c r="E34" s="97">
        <v>1465000</v>
      </c>
      <c r="F34" s="95">
        <v>3</v>
      </c>
      <c r="G34" s="98">
        <f t="shared" si="7"/>
        <v>4395000</v>
      </c>
      <c r="H34" s="95"/>
      <c r="I34" s="95"/>
      <c r="J34" s="95">
        <f>ROUNDDOWN((G34*55/209*1.5),-1)</f>
        <v>1734860</v>
      </c>
      <c r="K34" s="95">
        <f>F34*40000</f>
        <v>120000</v>
      </c>
      <c r="L34" s="95">
        <f t="shared" si="1"/>
        <v>300000</v>
      </c>
      <c r="M34" s="95"/>
      <c r="N34" s="117">
        <f t="shared" si="3"/>
        <v>6549860</v>
      </c>
      <c r="O34" s="145"/>
      <c r="P34" s="201">
        <f t="shared" si="8"/>
        <v>2154860</v>
      </c>
      <c r="Q34" s="197"/>
      <c r="R34" s="197"/>
      <c r="S34" s="202">
        <f t="shared" si="9"/>
        <v>0</v>
      </c>
      <c r="T34" s="96">
        <v>2</v>
      </c>
      <c r="U34" s="15">
        <f t="shared" si="10"/>
        <v>0</v>
      </c>
      <c r="V34" s="15">
        <f t="shared" si="18"/>
        <v>0</v>
      </c>
      <c r="W34" s="15">
        <f t="shared" si="19"/>
        <v>0</v>
      </c>
      <c r="X34" s="15">
        <f t="shared" si="20"/>
        <v>0</v>
      </c>
      <c r="Y34" s="15"/>
      <c r="Z34" s="15"/>
      <c r="AA34" s="15"/>
      <c r="AB34" s="15"/>
      <c r="AC34" s="39"/>
      <c r="AD34" s="84">
        <f t="shared" si="11"/>
        <v>0</v>
      </c>
      <c r="AE34">
        <v>12</v>
      </c>
    </row>
    <row r="35" spans="1:31" ht="34.5" customHeight="1">
      <c r="A35" s="194">
        <v>18</v>
      </c>
      <c r="B35" s="195" t="s">
        <v>130</v>
      </c>
      <c r="C35" s="196" t="s">
        <v>131</v>
      </c>
      <c r="D35" s="96">
        <v>5</v>
      </c>
      <c r="E35" s="97">
        <v>1515000</v>
      </c>
      <c r="F35" s="95">
        <v>11</v>
      </c>
      <c r="G35" s="98">
        <f t="shared" si="7"/>
        <v>16665000</v>
      </c>
      <c r="H35" s="95">
        <f>E35*1.2</f>
        <v>1818000</v>
      </c>
      <c r="I35" s="95"/>
      <c r="J35" s="95">
        <f aca="true" t="shared" si="22" ref="J35:J42">ROUNDDOWN((G35*35/209*1.5),-1)</f>
        <v>4186180</v>
      </c>
      <c r="K35" s="95">
        <f>F35*80000</f>
        <v>880000</v>
      </c>
      <c r="L35" s="95">
        <f t="shared" si="1"/>
        <v>1100000</v>
      </c>
      <c r="M35" s="95"/>
      <c r="N35" s="117">
        <f t="shared" si="3"/>
        <v>24649180</v>
      </c>
      <c r="O35" s="144">
        <f>N35+N36</f>
        <v>26789800</v>
      </c>
      <c r="P35" s="201">
        <f t="shared" si="8"/>
        <v>7984180</v>
      </c>
      <c r="Q35" s="196" t="s">
        <v>131</v>
      </c>
      <c r="R35" s="196" t="s">
        <v>130</v>
      </c>
      <c r="S35" s="202" t="str">
        <f t="shared" si="9"/>
        <v>정안순</v>
      </c>
      <c r="T35" s="96">
        <v>4</v>
      </c>
      <c r="U35" s="15">
        <f t="shared" si="10"/>
        <v>2232483.3333333335</v>
      </c>
      <c r="V35" s="15">
        <f t="shared" si="18"/>
        <v>65850</v>
      </c>
      <c r="W35" s="15">
        <f t="shared" si="19"/>
        <v>4310</v>
      </c>
      <c r="X35" s="15">
        <f t="shared" si="20"/>
        <v>100460</v>
      </c>
      <c r="Y35" s="15">
        <f>ROUNDDOWN((U35*4.5%/10),-1)</f>
        <v>10040</v>
      </c>
      <c r="Z35" s="15">
        <v>40000</v>
      </c>
      <c r="AA35" s="15">
        <f>ROUNDDOWN((U35*0.01),-1)</f>
        <v>22320</v>
      </c>
      <c r="AB35" s="15">
        <f>SUM(V35:AA35)</f>
        <v>242980</v>
      </c>
      <c r="AC35" s="39">
        <f>U35-AB35</f>
        <v>1989503.3333333335</v>
      </c>
      <c r="AD35" s="84">
        <f t="shared" si="11"/>
        <v>2915760</v>
      </c>
      <c r="AE35">
        <v>12</v>
      </c>
    </row>
    <row r="36" spans="1:31" ht="34.5" customHeight="1">
      <c r="A36" s="198"/>
      <c r="B36" s="199"/>
      <c r="C36" s="197"/>
      <c r="D36" s="96">
        <v>6</v>
      </c>
      <c r="E36" s="97">
        <v>1567000</v>
      </c>
      <c r="F36" s="95">
        <v>1</v>
      </c>
      <c r="G36" s="98">
        <f t="shared" si="7"/>
        <v>1567000</v>
      </c>
      <c r="H36" s="95"/>
      <c r="I36" s="95"/>
      <c r="J36" s="95">
        <f t="shared" si="22"/>
        <v>393620</v>
      </c>
      <c r="K36" s="95">
        <f>F36*80000</f>
        <v>80000</v>
      </c>
      <c r="L36" s="95">
        <f t="shared" si="1"/>
        <v>100000</v>
      </c>
      <c r="M36" s="95"/>
      <c r="N36" s="117">
        <f t="shared" si="3"/>
        <v>2140620</v>
      </c>
      <c r="O36" s="145"/>
      <c r="P36" s="201">
        <f t="shared" si="8"/>
        <v>573620</v>
      </c>
      <c r="Q36" s="197"/>
      <c r="R36" s="197"/>
      <c r="S36" s="202">
        <f t="shared" si="9"/>
        <v>0</v>
      </c>
      <c r="T36" s="96">
        <v>5</v>
      </c>
      <c r="U36" s="15">
        <f t="shared" si="10"/>
        <v>0</v>
      </c>
      <c r="V36" s="15">
        <f t="shared" si="18"/>
        <v>0</v>
      </c>
      <c r="W36" s="15">
        <f t="shared" si="19"/>
        <v>0</v>
      </c>
      <c r="X36" s="15">
        <f t="shared" si="20"/>
        <v>0</v>
      </c>
      <c r="Y36" s="15"/>
      <c r="Z36" s="15"/>
      <c r="AA36" s="15"/>
      <c r="AB36" s="15"/>
      <c r="AC36" s="39"/>
      <c r="AD36" s="84">
        <f t="shared" si="11"/>
        <v>0</v>
      </c>
      <c r="AE36">
        <v>12</v>
      </c>
    </row>
    <row r="37" spans="1:31" ht="34.5" customHeight="1">
      <c r="A37" s="194">
        <v>19</v>
      </c>
      <c r="B37" s="195" t="s">
        <v>178</v>
      </c>
      <c r="C37" s="196" t="s">
        <v>172</v>
      </c>
      <c r="D37" s="96">
        <v>1</v>
      </c>
      <c r="E37" s="97">
        <v>1665000</v>
      </c>
      <c r="F37" s="95">
        <v>4</v>
      </c>
      <c r="G37" s="98">
        <f t="shared" si="7"/>
        <v>6660000</v>
      </c>
      <c r="H37" s="95">
        <f t="shared" si="21"/>
        <v>999000</v>
      </c>
      <c r="I37" s="95"/>
      <c r="J37" s="95">
        <f t="shared" si="22"/>
        <v>1672960</v>
      </c>
      <c r="K37" s="95"/>
      <c r="L37" s="95">
        <f t="shared" si="1"/>
        <v>400000</v>
      </c>
      <c r="M37" s="95">
        <f>40000*F37</f>
        <v>160000</v>
      </c>
      <c r="N37" s="117">
        <f>SUM(G37:M37)</f>
        <v>9891960</v>
      </c>
      <c r="O37" s="144">
        <f>N37+N38</f>
        <v>29292240</v>
      </c>
      <c r="P37" s="201">
        <f t="shared" si="8"/>
        <v>3231960</v>
      </c>
      <c r="Q37" s="196" t="s">
        <v>172</v>
      </c>
      <c r="R37" s="196" t="s">
        <v>132</v>
      </c>
      <c r="S37" s="202" t="str">
        <f t="shared" si="9"/>
        <v>박은정</v>
      </c>
      <c r="T37" s="96">
        <v>5</v>
      </c>
      <c r="U37" s="15">
        <f t="shared" si="10"/>
        <v>2441020</v>
      </c>
      <c r="V37" s="15">
        <f t="shared" si="18"/>
        <v>72010</v>
      </c>
      <c r="W37" s="15">
        <f t="shared" si="19"/>
        <v>4710</v>
      </c>
      <c r="X37" s="15">
        <f t="shared" si="20"/>
        <v>109840</v>
      </c>
      <c r="Y37" s="15">
        <f>ROUNDDOWN((U37*4.5%/10),-1)</f>
        <v>10980</v>
      </c>
      <c r="Z37" s="15">
        <v>40000</v>
      </c>
      <c r="AA37" s="15">
        <f>ROUNDDOWN((U37*0.01),-1)</f>
        <v>24410</v>
      </c>
      <c r="AB37" s="15">
        <f>SUM(V37:AA37)</f>
        <v>261950</v>
      </c>
      <c r="AC37" s="39">
        <f>U37-AB37</f>
        <v>2179070</v>
      </c>
      <c r="AD37" s="84">
        <f t="shared" si="11"/>
        <v>3143400</v>
      </c>
      <c r="AE37">
        <v>12</v>
      </c>
    </row>
    <row r="38" spans="1:31" ht="34.5" customHeight="1">
      <c r="A38" s="198"/>
      <c r="B38" s="199"/>
      <c r="C38" s="197"/>
      <c r="D38" s="96">
        <v>2</v>
      </c>
      <c r="E38" s="97">
        <v>1723000</v>
      </c>
      <c r="F38" s="95">
        <v>8</v>
      </c>
      <c r="G38" s="98">
        <f>E38*F38</f>
        <v>13784000</v>
      </c>
      <c r="H38" s="95">
        <f t="shared" si="21"/>
        <v>1033800</v>
      </c>
      <c r="I38" s="95"/>
      <c r="J38" s="95">
        <f t="shared" si="22"/>
        <v>3462480</v>
      </c>
      <c r="K38" s="95"/>
      <c r="L38" s="95">
        <f>100000*F38</f>
        <v>800000</v>
      </c>
      <c r="M38" s="95">
        <f>40000*F38</f>
        <v>320000</v>
      </c>
      <c r="N38" s="117">
        <f>SUM(G38:M38)</f>
        <v>19400280</v>
      </c>
      <c r="O38" s="145"/>
      <c r="P38" s="201">
        <f t="shared" si="8"/>
        <v>5616280</v>
      </c>
      <c r="Q38" s="197"/>
      <c r="R38" s="197"/>
      <c r="S38" s="202">
        <f t="shared" si="9"/>
        <v>0</v>
      </c>
      <c r="T38" s="96">
        <v>6</v>
      </c>
      <c r="U38" s="15">
        <f t="shared" si="10"/>
        <v>0</v>
      </c>
      <c r="V38" s="15">
        <f t="shared" si="18"/>
        <v>0</v>
      </c>
      <c r="W38" s="15">
        <f t="shared" si="19"/>
        <v>0</v>
      </c>
      <c r="X38" s="15">
        <f t="shared" si="20"/>
        <v>0</v>
      </c>
      <c r="Y38" s="15"/>
      <c r="Z38" s="15"/>
      <c r="AA38" s="15"/>
      <c r="AB38" s="15"/>
      <c r="AC38" s="39"/>
      <c r="AD38" s="84">
        <f t="shared" si="11"/>
        <v>0</v>
      </c>
      <c r="AE38">
        <v>12</v>
      </c>
    </row>
    <row r="39" spans="1:31" ht="34.5" customHeight="1">
      <c r="A39" s="194">
        <v>20</v>
      </c>
      <c r="B39" s="195" t="s">
        <v>133</v>
      </c>
      <c r="C39" s="196" t="s">
        <v>134</v>
      </c>
      <c r="D39" s="96">
        <v>5</v>
      </c>
      <c r="E39" s="97">
        <v>1978000</v>
      </c>
      <c r="F39" s="95">
        <v>3</v>
      </c>
      <c r="G39" s="98">
        <f>E39*F39</f>
        <v>5934000</v>
      </c>
      <c r="H39" s="95">
        <f t="shared" si="21"/>
        <v>1186800</v>
      </c>
      <c r="I39" s="95"/>
      <c r="J39" s="95">
        <f t="shared" si="22"/>
        <v>1490590</v>
      </c>
      <c r="K39" s="95">
        <f>F39*80000</f>
        <v>240000</v>
      </c>
      <c r="L39" s="95">
        <f>100000*F39</f>
        <v>300000</v>
      </c>
      <c r="M39" s="95"/>
      <c r="N39" s="117">
        <f>SUM(G39:M39)</f>
        <v>9151390</v>
      </c>
      <c r="O39" s="144">
        <f>N39+N40</f>
        <v>35323170</v>
      </c>
      <c r="P39" s="201">
        <f t="shared" si="8"/>
        <v>3217390</v>
      </c>
      <c r="Q39" s="196" t="s">
        <v>134</v>
      </c>
      <c r="R39" s="196" t="s">
        <v>127</v>
      </c>
      <c r="S39" s="202" t="str">
        <f t="shared" si="9"/>
        <v>양은하</v>
      </c>
      <c r="T39" s="96">
        <v>1</v>
      </c>
      <c r="U39" s="15">
        <f t="shared" si="10"/>
        <v>2943597.5</v>
      </c>
      <c r="V39" s="15">
        <f t="shared" si="18"/>
        <v>86830</v>
      </c>
      <c r="W39" s="15">
        <f t="shared" si="19"/>
        <v>5680</v>
      </c>
      <c r="X39" s="15">
        <f t="shared" si="20"/>
        <v>132460</v>
      </c>
      <c r="Y39" s="15">
        <f>ROUNDDOWN((U39*4.5%/10),-1)</f>
        <v>13240</v>
      </c>
      <c r="Z39" s="15">
        <v>40000</v>
      </c>
      <c r="AA39" s="15">
        <f>ROUNDDOWN((U39*0.01),-1)</f>
        <v>29430</v>
      </c>
      <c r="AB39" s="15">
        <f>SUM(V39:AA39)</f>
        <v>307640</v>
      </c>
      <c r="AC39" s="39">
        <f>U39-AB39</f>
        <v>2635957.5</v>
      </c>
      <c r="AD39" s="84">
        <f t="shared" si="11"/>
        <v>3691680</v>
      </c>
      <c r="AE39">
        <v>12</v>
      </c>
    </row>
    <row r="40" spans="1:31" ht="34.5" customHeight="1">
      <c r="A40" s="198"/>
      <c r="B40" s="199"/>
      <c r="C40" s="197"/>
      <c r="D40" s="96">
        <v>6</v>
      </c>
      <c r="E40" s="97">
        <v>2070000</v>
      </c>
      <c r="F40" s="95">
        <v>9</v>
      </c>
      <c r="G40" s="98">
        <f>E40*F40</f>
        <v>18630000</v>
      </c>
      <c r="H40" s="95">
        <f t="shared" si="21"/>
        <v>1242000</v>
      </c>
      <c r="I40" s="95"/>
      <c r="J40" s="95">
        <f t="shared" si="22"/>
        <v>4679780</v>
      </c>
      <c r="K40" s="95">
        <f>F40*80000</f>
        <v>720000</v>
      </c>
      <c r="L40" s="95">
        <f>100000*F40</f>
        <v>900000</v>
      </c>
      <c r="M40" s="95"/>
      <c r="N40" s="117">
        <f>SUM(G40:M40)</f>
        <v>26171780</v>
      </c>
      <c r="O40" s="145"/>
      <c r="P40" s="201">
        <f t="shared" si="8"/>
        <v>7541780</v>
      </c>
      <c r="Q40" s="197"/>
      <c r="R40" s="197"/>
      <c r="S40" s="202">
        <f t="shared" si="9"/>
        <v>0</v>
      </c>
      <c r="T40" s="96">
        <v>2</v>
      </c>
      <c r="U40" s="15">
        <f t="shared" si="10"/>
        <v>0</v>
      </c>
      <c r="V40" s="15">
        <f t="shared" si="18"/>
        <v>0</v>
      </c>
      <c r="W40" s="15">
        <f t="shared" si="19"/>
        <v>0</v>
      </c>
      <c r="X40" s="15">
        <f t="shared" si="20"/>
        <v>0</v>
      </c>
      <c r="Y40" s="15"/>
      <c r="Z40" s="15"/>
      <c r="AA40" s="15"/>
      <c r="AB40" s="15"/>
      <c r="AC40" s="39"/>
      <c r="AD40" s="84">
        <f t="shared" si="11"/>
        <v>0</v>
      </c>
      <c r="AE40">
        <v>12</v>
      </c>
    </row>
    <row r="41" spans="1:31" ht="34.5" customHeight="1">
      <c r="A41" s="123">
        <v>21</v>
      </c>
      <c r="B41" s="142" t="s">
        <v>135</v>
      </c>
      <c r="C41" s="487" t="s">
        <v>136</v>
      </c>
      <c r="D41" s="125">
        <v>2</v>
      </c>
      <c r="E41" s="126">
        <v>1602000</v>
      </c>
      <c r="F41" s="127">
        <v>11</v>
      </c>
      <c r="G41" s="128">
        <f t="shared" si="7"/>
        <v>17622000</v>
      </c>
      <c r="H41" s="127">
        <f>E41</f>
        <v>1602000</v>
      </c>
      <c r="I41" s="127"/>
      <c r="J41" s="95">
        <f t="shared" si="22"/>
        <v>4426570</v>
      </c>
      <c r="K41" s="127">
        <f>F41*20000</f>
        <v>220000</v>
      </c>
      <c r="L41" s="127">
        <f t="shared" si="1"/>
        <v>1100000</v>
      </c>
      <c r="M41" s="127"/>
      <c r="N41" s="129">
        <f t="shared" si="3"/>
        <v>24970570</v>
      </c>
      <c r="O41" s="144">
        <f>N41+N42</f>
        <v>27157540</v>
      </c>
      <c r="P41" s="201">
        <f t="shared" si="8"/>
        <v>7348570</v>
      </c>
      <c r="Q41" s="124" t="s">
        <v>136</v>
      </c>
      <c r="R41" s="124" t="s">
        <v>135</v>
      </c>
      <c r="S41" s="202" t="str">
        <f t="shared" si="9"/>
        <v>황효섭</v>
      </c>
      <c r="T41" s="125">
        <v>1</v>
      </c>
      <c r="U41" s="15">
        <f t="shared" si="10"/>
        <v>2263128.3333333335</v>
      </c>
      <c r="V41" s="15">
        <f t="shared" si="18"/>
        <v>66760</v>
      </c>
      <c r="W41" s="15">
        <f t="shared" si="19"/>
        <v>4370</v>
      </c>
      <c r="X41" s="15">
        <f t="shared" si="20"/>
        <v>101840</v>
      </c>
      <c r="Y41" s="15">
        <f>ROUNDDOWN((U41*4.5%/10),-1)</f>
        <v>10180</v>
      </c>
      <c r="Z41" s="15">
        <v>40000</v>
      </c>
      <c r="AA41" s="15">
        <f>ROUNDDOWN((U41*0.01),-1)</f>
        <v>22630</v>
      </c>
      <c r="AB41" s="15">
        <f>SUM(V41:AA41)</f>
        <v>245780</v>
      </c>
      <c r="AC41" s="39">
        <f>U41-AB41</f>
        <v>2017348.3333333335</v>
      </c>
      <c r="AD41" s="84">
        <f t="shared" si="11"/>
        <v>2949360</v>
      </c>
      <c r="AE41">
        <v>12</v>
      </c>
    </row>
    <row r="42" spans="1:31" ht="34.5" customHeight="1">
      <c r="A42" s="230"/>
      <c r="B42" s="231"/>
      <c r="C42" s="488"/>
      <c r="D42" s="125">
        <v>3</v>
      </c>
      <c r="E42" s="126">
        <v>1652000</v>
      </c>
      <c r="F42" s="127">
        <v>1</v>
      </c>
      <c r="G42" s="128">
        <f>E42*F42</f>
        <v>1652000</v>
      </c>
      <c r="H42" s="127"/>
      <c r="I42" s="127"/>
      <c r="J42" s="95">
        <f t="shared" si="22"/>
        <v>414970</v>
      </c>
      <c r="K42" s="127">
        <f>F42*20000</f>
        <v>20000</v>
      </c>
      <c r="L42" s="127">
        <f>100000*F42</f>
        <v>100000</v>
      </c>
      <c r="M42" s="127"/>
      <c r="N42" s="129">
        <f>SUM(G42:M42)</f>
        <v>2186970</v>
      </c>
      <c r="O42" s="144"/>
      <c r="P42" s="201">
        <f>SUM(H42:M42)</f>
        <v>534970</v>
      </c>
      <c r="Q42" s="124" t="s">
        <v>136</v>
      </c>
      <c r="R42" s="124" t="s">
        <v>135</v>
      </c>
      <c r="S42" s="202" t="str">
        <f>Q42</f>
        <v>황효섭</v>
      </c>
      <c r="T42" s="125">
        <v>1</v>
      </c>
      <c r="U42" s="15">
        <f>O42/AE42</f>
        <v>0</v>
      </c>
      <c r="V42" s="15">
        <f t="shared" si="18"/>
        <v>0</v>
      </c>
      <c r="W42" s="15">
        <f t="shared" si="19"/>
        <v>0</v>
      </c>
      <c r="X42" s="15">
        <f t="shared" si="20"/>
        <v>0</v>
      </c>
      <c r="Y42" s="15">
        <f>ROUNDDOWN((U42*4.5%/10),-1)</f>
        <v>0</v>
      </c>
      <c r="Z42" s="15">
        <v>40000</v>
      </c>
      <c r="AA42" s="15">
        <f>ROUNDDOWN((U42*0.01),-1)</f>
        <v>0</v>
      </c>
      <c r="AB42" s="15">
        <f>SUM(V42:AA42)</f>
        <v>40000</v>
      </c>
      <c r="AC42" s="39">
        <f>U42-AB42</f>
        <v>-40000</v>
      </c>
      <c r="AD42" s="84">
        <f>AB42*AE42</f>
        <v>480000</v>
      </c>
      <c r="AE42">
        <v>12</v>
      </c>
    </row>
    <row r="43" spans="1:30" ht="34.5" customHeight="1" thickBot="1">
      <c r="A43" s="435" t="s">
        <v>137</v>
      </c>
      <c r="B43" s="436"/>
      <c r="C43" s="31"/>
      <c r="D43" s="32"/>
      <c r="E43" s="33">
        <f>SUM(E3:E41)</f>
        <v>74084000</v>
      </c>
      <c r="F43" s="33"/>
      <c r="G43" s="34">
        <f aca="true" t="shared" si="23" ref="G43:P43">SUM(G3:G41)</f>
        <v>471546000</v>
      </c>
      <c r="H43" s="34">
        <f t="shared" si="23"/>
        <v>44760000</v>
      </c>
      <c r="I43" s="34">
        <f t="shared" si="23"/>
        <v>3600000</v>
      </c>
      <c r="J43" s="34">
        <f t="shared" si="23"/>
        <v>156583650</v>
      </c>
      <c r="K43" s="34">
        <f t="shared" si="23"/>
        <v>7460000</v>
      </c>
      <c r="L43" s="34">
        <f t="shared" si="23"/>
        <v>24900000</v>
      </c>
      <c r="M43" s="34">
        <f t="shared" si="23"/>
        <v>7600000</v>
      </c>
      <c r="N43" s="51">
        <f t="shared" si="23"/>
        <v>716449650</v>
      </c>
      <c r="O43" s="146">
        <f t="shared" si="23"/>
        <v>718636620</v>
      </c>
      <c r="P43" s="146">
        <f t="shared" si="23"/>
        <v>244903650</v>
      </c>
      <c r="Q43" s="435" t="s">
        <v>137</v>
      </c>
      <c r="R43" s="436"/>
      <c r="S43" s="31"/>
      <c r="T43" s="31"/>
      <c r="U43" s="34">
        <f aca="true" t="shared" si="24" ref="U43:AC43">SUM(U3:U41)</f>
        <v>59886385.00000001</v>
      </c>
      <c r="V43" s="34">
        <f t="shared" si="24"/>
        <v>1766540</v>
      </c>
      <c r="W43" s="34">
        <f t="shared" si="24"/>
        <v>115590</v>
      </c>
      <c r="X43" s="34">
        <f t="shared" si="24"/>
        <v>2694810</v>
      </c>
      <c r="Y43" s="34">
        <f t="shared" si="24"/>
        <v>269360</v>
      </c>
      <c r="Z43" s="34">
        <f t="shared" si="24"/>
        <v>880000</v>
      </c>
      <c r="AA43" s="34">
        <f t="shared" si="24"/>
        <v>598770</v>
      </c>
      <c r="AB43" s="34">
        <f t="shared" si="24"/>
        <v>6325070</v>
      </c>
      <c r="AC43" s="38">
        <f t="shared" si="24"/>
        <v>51125874.16666667</v>
      </c>
      <c r="AD43" s="84">
        <f>SUM(AD3:AD41)</f>
        <v>75900840</v>
      </c>
    </row>
    <row r="44" spans="1:29" ht="22.5" customHeight="1" thickBot="1">
      <c r="A44" s="437" t="s">
        <v>138</v>
      </c>
      <c r="B44" s="438"/>
      <c r="C44" s="438"/>
      <c r="D44" s="438"/>
      <c r="E44" s="438"/>
      <c r="F44" s="438"/>
      <c r="G44" s="439"/>
      <c r="H44" s="171">
        <f>N43</f>
        <v>716449650</v>
      </c>
      <c r="I44" s="99"/>
      <c r="J44" s="35"/>
      <c r="K44" s="35"/>
      <c r="L44" s="35"/>
      <c r="M44" s="35"/>
      <c r="N44" s="35"/>
      <c r="O44" s="35"/>
      <c r="P44" s="35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20.25" customHeight="1">
      <c r="A45" s="464" t="s">
        <v>139</v>
      </c>
      <c r="B45" s="465"/>
      <c r="C45" s="463">
        <f>N43</f>
        <v>716449650</v>
      </c>
      <c r="D45" s="463"/>
      <c r="E45" s="19">
        <v>0.08333333333333333</v>
      </c>
      <c r="F45" s="19"/>
      <c r="G45" s="183"/>
      <c r="H45" s="20">
        <f aca="true" t="shared" si="25" ref="H45:H50">ROUNDDOWN((C45*E45),-1)</f>
        <v>59704130</v>
      </c>
      <c r="I45" s="100">
        <f>E3+E5+E7+E9+E12+E13+E15+E17+E19+E20+E22+E31+E33+E35+E37+E40+E41</f>
        <v>32226000</v>
      </c>
      <c r="J45" s="137">
        <f>E3+E5+E7+E9+E12+E13+E19+E33+E37+E41+E15+E17+E31+E29+E30+E20+E22+E24+E26+E35+E39</f>
        <v>39176000</v>
      </c>
      <c r="K45" s="446">
        <f>J45*0.5</f>
        <v>19588000</v>
      </c>
      <c r="L45" s="446"/>
      <c r="M45" s="107">
        <f>K45*0.5</f>
        <v>9794000</v>
      </c>
      <c r="N45" s="4"/>
      <c r="O45" s="4"/>
      <c r="P45" s="4"/>
      <c r="Q45" s="8"/>
      <c r="R45" s="4"/>
      <c r="S45" s="4"/>
      <c r="T45" s="4"/>
      <c r="U45" s="6"/>
      <c r="V45" s="6"/>
      <c r="W45" s="6"/>
      <c r="X45" s="9"/>
      <c r="Y45" s="9"/>
      <c r="Z45" s="9"/>
      <c r="AA45" s="9"/>
      <c r="AB45" s="9"/>
      <c r="AC45" s="9"/>
    </row>
    <row r="46" spans="1:29" ht="20.25" customHeight="1">
      <c r="A46" s="448" t="s">
        <v>140</v>
      </c>
      <c r="B46" s="449"/>
      <c r="C46" s="432">
        <f>N43</f>
        <v>716449650</v>
      </c>
      <c r="D46" s="432"/>
      <c r="E46" s="13">
        <v>0.0295</v>
      </c>
      <c r="F46" s="13"/>
      <c r="G46" s="14"/>
      <c r="H46" s="21">
        <f t="shared" si="25"/>
        <v>21135260</v>
      </c>
      <c r="I46" s="100" t="e">
        <f>E4+E6+E8+E10+E12+E14+E16+E18+E20+E22+E25+E32+E34+E36+E38+#REF!+E41+E26+E29+E30+E19</f>
        <v>#REF!</v>
      </c>
      <c r="J46" s="137">
        <f>E4+E6+E8+E10+E12+E14+E19+E21+E23+E32+E34+E36+E41+E16+E18+E40+E25+E27+E29+E30+E38</f>
        <v>40303000</v>
      </c>
      <c r="K46" s="446">
        <f>J46*0.5</f>
        <v>20151500</v>
      </c>
      <c r="L46" s="447"/>
      <c r="M46" s="107">
        <f>K46*0.5</f>
        <v>10075750</v>
      </c>
      <c r="N46" s="4"/>
      <c r="O46" s="4"/>
      <c r="P46" s="4"/>
      <c r="Q46" s="7"/>
      <c r="R46" s="5"/>
      <c r="S46" s="5"/>
      <c r="T46" s="5"/>
      <c r="U46" s="6"/>
      <c r="V46" s="6"/>
      <c r="W46" s="6"/>
      <c r="X46" s="9"/>
      <c r="Y46" s="9"/>
      <c r="Z46" s="9"/>
      <c r="AA46" s="9"/>
      <c r="AB46" s="9"/>
      <c r="AC46" s="9"/>
    </row>
    <row r="47" spans="1:29" ht="20.25" customHeight="1">
      <c r="A47" s="448" t="s">
        <v>141</v>
      </c>
      <c r="B47" s="449"/>
      <c r="C47" s="432">
        <f>H46</f>
        <v>21135260</v>
      </c>
      <c r="D47" s="432"/>
      <c r="E47" s="13">
        <v>0.0655</v>
      </c>
      <c r="F47" s="13"/>
      <c r="G47" s="14"/>
      <c r="H47" s="21">
        <f t="shared" si="25"/>
        <v>1384350</v>
      </c>
      <c r="I47" s="101"/>
      <c r="J47" s="137">
        <f>SUM(J45:J46)</f>
        <v>79479000</v>
      </c>
      <c r="K47" s="138">
        <f>SUM(K45:K46)</f>
        <v>39739500</v>
      </c>
      <c r="L47" s="139">
        <f>SUM(K47)</f>
        <v>39739500</v>
      </c>
      <c r="M47" s="109">
        <f>SUM(M45:M46)</f>
        <v>19869750</v>
      </c>
      <c r="N47" s="4"/>
      <c r="O47" s="4"/>
      <c r="P47" s="4"/>
      <c r="Q47" s="7"/>
      <c r="R47" s="5"/>
      <c r="S47" s="5"/>
      <c r="T47" s="5"/>
      <c r="U47" s="6"/>
      <c r="V47" s="6"/>
      <c r="W47" s="6"/>
      <c r="X47" s="9"/>
      <c r="Y47" s="9"/>
      <c r="Z47" s="9"/>
      <c r="AA47" s="9"/>
      <c r="AB47" s="9"/>
      <c r="AC47" s="9"/>
    </row>
    <row r="48" spans="1:29" ht="20.25" customHeight="1">
      <c r="A48" s="448" t="s">
        <v>142</v>
      </c>
      <c r="B48" s="449"/>
      <c r="C48" s="432">
        <f>C45</f>
        <v>716449650</v>
      </c>
      <c r="D48" s="432"/>
      <c r="E48" s="13">
        <v>0.045</v>
      </c>
      <c r="F48" s="16"/>
      <c r="G48" s="14"/>
      <c r="H48" s="21">
        <f t="shared" si="25"/>
        <v>32240230</v>
      </c>
      <c r="I48" s="101"/>
      <c r="J48" s="137">
        <f>H44+H51</f>
        <v>842233510</v>
      </c>
      <c r="K48" s="108"/>
      <c r="L48" s="139">
        <f>L47-H43</f>
        <v>-5020500</v>
      </c>
      <c r="M48" s="108"/>
      <c r="N48" s="5"/>
      <c r="O48" s="5"/>
      <c r="P48" s="5"/>
      <c r="Q48" s="7"/>
      <c r="R48" s="5"/>
      <c r="S48" s="5"/>
      <c r="T48" s="5"/>
      <c r="U48" s="6"/>
      <c r="V48" s="6"/>
      <c r="W48" s="6"/>
      <c r="X48" s="9"/>
      <c r="Y48" s="9"/>
      <c r="Z48" s="9"/>
      <c r="AA48" s="9"/>
      <c r="AB48" s="9"/>
      <c r="AC48" s="9"/>
    </row>
    <row r="49" spans="1:29" ht="20.25" customHeight="1">
      <c r="A49" s="448" t="s">
        <v>143</v>
      </c>
      <c r="B49" s="449"/>
      <c r="C49" s="432">
        <f>C45</f>
        <v>716449650</v>
      </c>
      <c r="D49" s="432"/>
      <c r="E49" s="13">
        <v>0.0078</v>
      </c>
      <c r="F49" s="16"/>
      <c r="G49" s="182"/>
      <c r="H49" s="21">
        <f t="shared" si="25"/>
        <v>5588300</v>
      </c>
      <c r="I49" s="101"/>
      <c r="J49" s="115"/>
      <c r="K49" s="108"/>
      <c r="L49" s="108"/>
      <c r="M49" s="108"/>
      <c r="N49" s="5"/>
      <c r="O49" s="5"/>
      <c r="P49" s="5"/>
      <c r="Q49" s="7"/>
      <c r="R49" s="5"/>
      <c r="S49" s="5"/>
      <c r="T49" s="5"/>
      <c r="U49" s="6"/>
      <c r="V49" s="6"/>
      <c r="W49" s="6"/>
      <c r="X49" s="9"/>
      <c r="Y49" s="9"/>
      <c r="Z49" s="9"/>
      <c r="AA49" s="9"/>
      <c r="AB49" s="9"/>
      <c r="AC49" s="9"/>
    </row>
    <row r="50" spans="1:29" ht="20.25" customHeight="1">
      <c r="A50" s="448" t="s">
        <v>144</v>
      </c>
      <c r="B50" s="449"/>
      <c r="C50" s="432">
        <f>C45</f>
        <v>716449650</v>
      </c>
      <c r="D50" s="432"/>
      <c r="E50" s="13">
        <v>0.008</v>
      </c>
      <c r="F50" s="16"/>
      <c r="G50" s="182"/>
      <c r="H50" s="21">
        <f t="shared" si="25"/>
        <v>5731590</v>
      </c>
      <c r="I50" s="101"/>
      <c r="J50" s="115"/>
      <c r="K50" s="108"/>
      <c r="L50" s="108"/>
      <c r="M50" s="108"/>
      <c r="N50" s="5"/>
      <c r="O50" s="5"/>
      <c r="P50" s="5"/>
      <c r="Q50" s="7"/>
      <c r="R50" s="5"/>
      <c r="S50" s="5"/>
      <c r="T50" s="5"/>
      <c r="U50" s="6"/>
      <c r="V50" s="6"/>
      <c r="W50" s="6"/>
      <c r="X50" s="9"/>
      <c r="Y50" s="9"/>
      <c r="Z50" s="9"/>
      <c r="AA50" s="9"/>
      <c r="AB50" s="9"/>
      <c r="AC50" s="9"/>
    </row>
    <row r="51" spans="1:29" ht="56.25" customHeight="1" thickBot="1">
      <c r="A51" s="442" t="s">
        <v>145</v>
      </c>
      <c r="B51" s="443"/>
      <c r="C51" s="444"/>
      <c r="D51" s="445"/>
      <c r="E51" s="27"/>
      <c r="F51" s="27"/>
      <c r="G51" s="28"/>
      <c r="H51" s="29">
        <f>SUM(H45:H50)</f>
        <v>125783860</v>
      </c>
      <c r="I51" s="99"/>
      <c r="J51" s="111">
        <f>H44+H51</f>
        <v>842233510</v>
      </c>
      <c r="K51" s="110"/>
      <c r="L51" s="111"/>
      <c r="M51" s="111"/>
      <c r="N51" s="35"/>
      <c r="O51" s="35"/>
      <c r="P51" s="35"/>
      <c r="Q51" s="36"/>
      <c r="R51" s="36"/>
      <c r="S51" s="36"/>
      <c r="T51" s="36"/>
      <c r="U51" s="36"/>
      <c r="V51" s="36"/>
      <c r="W51" s="9"/>
      <c r="X51" s="9"/>
      <c r="Y51" s="9"/>
      <c r="Z51" s="9"/>
      <c r="AA51" s="9"/>
      <c r="AB51" s="9"/>
      <c r="AC51" s="9"/>
    </row>
    <row r="52" spans="1:29" ht="20.25" customHeight="1">
      <c r="A52" s="450" t="s">
        <v>146</v>
      </c>
      <c r="B52" s="451"/>
      <c r="C52" s="44" t="s">
        <v>147</v>
      </c>
      <c r="D52" s="44" t="s">
        <v>148</v>
      </c>
      <c r="E52" s="44" t="s">
        <v>149</v>
      </c>
      <c r="F52" s="44"/>
      <c r="G52" s="44" t="s">
        <v>150</v>
      </c>
      <c r="H52" s="130" t="s">
        <v>137</v>
      </c>
      <c r="I52" s="176"/>
      <c r="J52" s="112"/>
      <c r="K52" s="112"/>
      <c r="L52" s="112"/>
      <c r="M52" s="112"/>
      <c r="N52" s="36"/>
      <c r="O52" s="36"/>
      <c r="P52" s="36"/>
      <c r="Q52" s="36"/>
      <c r="R52" s="36"/>
      <c r="S52" s="36"/>
      <c r="T52" s="36"/>
      <c r="U52" s="36"/>
      <c r="V52" s="36"/>
      <c r="W52" s="9"/>
      <c r="X52" s="9"/>
      <c r="Y52" s="9"/>
      <c r="Z52" s="9"/>
      <c r="AA52" s="9"/>
      <c r="AB52" s="9"/>
      <c r="AC52" s="9"/>
    </row>
    <row r="53" spans="1:29" ht="20.25" customHeight="1">
      <c r="A53" s="452" t="s">
        <v>151</v>
      </c>
      <c r="B53" s="453"/>
      <c r="C53" s="458" t="s">
        <v>152</v>
      </c>
      <c r="D53" s="461">
        <v>40779000</v>
      </c>
      <c r="E53" s="462"/>
      <c r="F53" s="178"/>
      <c r="G53" s="178">
        <v>2</v>
      </c>
      <c r="H53" s="83">
        <f>D53/G53</f>
        <v>20389500</v>
      </c>
      <c r="I53" s="102"/>
      <c r="J53" s="112"/>
      <c r="K53" s="112"/>
      <c r="L53" s="112"/>
      <c r="M53" s="112"/>
      <c r="N53" s="36"/>
      <c r="O53" s="36"/>
      <c r="P53" s="36"/>
      <c r="Q53" s="36"/>
      <c r="R53" s="36"/>
      <c r="S53" s="36"/>
      <c r="T53" s="36"/>
      <c r="U53" s="36"/>
      <c r="V53" s="36"/>
      <c r="W53" s="9"/>
      <c r="X53" s="9"/>
      <c r="Y53" s="9"/>
      <c r="Z53" s="9"/>
      <c r="AA53" s="9"/>
      <c r="AB53" s="9"/>
      <c r="AC53" s="9"/>
    </row>
    <row r="54" spans="1:29" ht="20.25" customHeight="1">
      <c r="A54" s="454"/>
      <c r="B54" s="455"/>
      <c r="C54" s="459"/>
      <c r="D54" s="11">
        <v>50920</v>
      </c>
      <c r="E54" s="11">
        <v>30</v>
      </c>
      <c r="F54" s="11"/>
      <c r="G54" s="11">
        <v>6</v>
      </c>
      <c r="H54" s="12">
        <f>D54*E54*G54</f>
        <v>9165600</v>
      </c>
      <c r="I54" s="103"/>
      <c r="J54" s="116"/>
      <c r="K54" s="112"/>
      <c r="L54" s="112"/>
      <c r="M54" s="112"/>
      <c r="N54" s="36"/>
      <c r="O54" s="36"/>
      <c r="P54" s="36"/>
      <c r="Q54" s="36"/>
      <c r="R54" s="36"/>
      <c r="S54" s="36"/>
      <c r="T54" s="36"/>
      <c r="U54" s="36"/>
      <c r="V54" s="36"/>
      <c r="W54" s="9"/>
      <c r="X54" s="9"/>
      <c r="Y54" s="9"/>
      <c r="Z54" s="9"/>
      <c r="AA54" s="9"/>
      <c r="AB54" s="9"/>
      <c r="AC54" s="9"/>
    </row>
    <row r="55" spans="1:29" ht="20.25" customHeight="1">
      <c r="A55" s="454"/>
      <c r="B55" s="455"/>
      <c r="C55" s="459"/>
      <c r="D55" s="11">
        <v>164170</v>
      </c>
      <c r="E55" s="11">
        <v>27</v>
      </c>
      <c r="F55" s="11"/>
      <c r="G55" s="11">
        <v>6</v>
      </c>
      <c r="H55" s="12">
        <f>D55*E55*G55</f>
        <v>26595540</v>
      </c>
      <c r="I55" s="103"/>
      <c r="J55" s="116"/>
      <c r="K55" s="112"/>
      <c r="L55" s="112"/>
      <c r="M55" s="112"/>
      <c r="N55" s="36"/>
      <c r="O55" s="36"/>
      <c r="P55" s="36"/>
      <c r="Q55" s="36"/>
      <c r="R55" s="36"/>
      <c r="S55" s="36"/>
      <c r="T55" s="36"/>
      <c r="U55" s="36"/>
      <c r="V55" s="36"/>
      <c r="W55" s="9"/>
      <c r="X55" s="9"/>
      <c r="Y55" s="9"/>
      <c r="Z55" s="9"/>
      <c r="AA55" s="9"/>
      <c r="AB55" s="9"/>
      <c r="AC55" s="9"/>
    </row>
    <row r="56" spans="1:29" ht="20.25" customHeight="1">
      <c r="A56" s="456"/>
      <c r="B56" s="457"/>
      <c r="C56" s="460"/>
      <c r="D56" s="11">
        <v>49416</v>
      </c>
      <c r="E56" s="11">
        <v>30</v>
      </c>
      <c r="F56" s="11"/>
      <c r="G56" s="11"/>
      <c r="H56" s="12">
        <f>D56*E56*G56</f>
        <v>0</v>
      </c>
      <c r="I56" s="103"/>
      <c r="J56" s="116"/>
      <c r="K56" s="112"/>
      <c r="L56" s="112"/>
      <c r="M56" s="112"/>
      <c r="N56" s="36"/>
      <c r="O56" s="36"/>
      <c r="P56" s="36"/>
      <c r="Q56" s="36"/>
      <c r="R56" s="36"/>
      <c r="S56" s="36"/>
      <c r="T56" s="36"/>
      <c r="U56" s="36"/>
      <c r="V56" s="36"/>
      <c r="W56" s="9"/>
      <c r="X56" s="9"/>
      <c r="Y56" s="9"/>
      <c r="Z56" s="9"/>
      <c r="AA56" s="9"/>
      <c r="AB56" s="9"/>
      <c r="AC56" s="9"/>
    </row>
    <row r="57" spans="1:29" ht="20.25" customHeight="1" thickBot="1">
      <c r="A57" s="440" t="s">
        <v>137</v>
      </c>
      <c r="B57" s="441"/>
      <c r="C57" s="131"/>
      <c r="D57" s="132"/>
      <c r="E57" s="132"/>
      <c r="F57" s="132"/>
      <c r="G57" s="132"/>
      <c r="H57" s="133">
        <f>SUM(H53:H56)</f>
        <v>56150640</v>
      </c>
      <c r="I57" s="104"/>
      <c r="J57" s="116"/>
      <c r="K57" s="113"/>
      <c r="L57" s="113"/>
      <c r="M57" s="113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20.25" customHeight="1">
      <c r="A58" s="470" t="s">
        <v>153</v>
      </c>
      <c r="B58" s="471"/>
      <c r="C58" s="134" t="s">
        <v>147</v>
      </c>
      <c r="D58" s="134" t="s">
        <v>148</v>
      </c>
      <c r="E58" s="134" t="s">
        <v>149</v>
      </c>
      <c r="F58" s="134"/>
      <c r="G58" s="134" t="s">
        <v>150</v>
      </c>
      <c r="H58" s="135" t="s">
        <v>137</v>
      </c>
      <c r="I58" s="176"/>
      <c r="J58" s="116"/>
      <c r="K58" s="113"/>
      <c r="L58" s="113"/>
      <c r="M58" s="113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20.25" customHeight="1">
      <c r="A59" s="434" t="s">
        <v>154</v>
      </c>
      <c r="B59" s="433"/>
      <c r="C59" s="433" t="s">
        <v>155</v>
      </c>
      <c r="D59" s="11">
        <v>127882</v>
      </c>
      <c r="E59" s="11">
        <v>19</v>
      </c>
      <c r="F59" s="11"/>
      <c r="G59" s="11">
        <v>5</v>
      </c>
      <c r="H59" s="12">
        <f aca="true" t="shared" si="26" ref="H59:H64">ROUNDDOWN((D59*E59*G59),-1)</f>
        <v>12148790</v>
      </c>
      <c r="I59" s="103"/>
      <c r="J59" s="116"/>
      <c r="K59" s="113"/>
      <c r="L59" s="113"/>
      <c r="M59" s="113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20.25" customHeight="1">
      <c r="A60" s="434"/>
      <c r="B60" s="433"/>
      <c r="C60" s="433"/>
      <c r="D60" s="11">
        <v>127882</v>
      </c>
      <c r="E60" s="11">
        <v>19</v>
      </c>
      <c r="F60" s="11"/>
      <c r="G60" s="11">
        <v>3</v>
      </c>
      <c r="H60" s="12">
        <f t="shared" si="26"/>
        <v>7289270</v>
      </c>
      <c r="I60" s="103"/>
      <c r="J60" s="116"/>
      <c r="K60" s="113"/>
      <c r="L60" s="113"/>
      <c r="M60" s="113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20.25" customHeight="1">
      <c r="A61" s="434"/>
      <c r="B61" s="433"/>
      <c r="C61" s="433"/>
      <c r="D61" s="11">
        <v>127882</v>
      </c>
      <c r="E61" s="11">
        <v>19</v>
      </c>
      <c r="F61" s="11"/>
      <c r="G61" s="11">
        <v>3</v>
      </c>
      <c r="H61" s="12">
        <f t="shared" si="26"/>
        <v>7289270</v>
      </c>
      <c r="I61" s="103"/>
      <c r="J61" s="116"/>
      <c r="K61" s="113"/>
      <c r="L61" s="113"/>
      <c r="M61" s="113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20.25" customHeight="1">
      <c r="A62" s="434" t="s">
        <v>156</v>
      </c>
      <c r="B62" s="433"/>
      <c r="C62" s="433" t="s">
        <v>155</v>
      </c>
      <c r="D62" s="11">
        <v>12996</v>
      </c>
      <c r="E62" s="11">
        <v>19</v>
      </c>
      <c r="F62" s="11"/>
      <c r="G62" s="11">
        <v>3</v>
      </c>
      <c r="H62" s="12">
        <f t="shared" si="26"/>
        <v>740770</v>
      </c>
      <c r="I62" s="103"/>
      <c r="J62" s="116"/>
      <c r="K62" s="113"/>
      <c r="L62" s="113"/>
      <c r="M62" s="113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20.25" customHeight="1">
      <c r="A63" s="434"/>
      <c r="B63" s="433"/>
      <c r="C63" s="433"/>
      <c r="D63" s="11">
        <v>12996</v>
      </c>
      <c r="E63" s="11">
        <v>19</v>
      </c>
      <c r="F63" s="11"/>
      <c r="G63" s="11">
        <v>3</v>
      </c>
      <c r="H63" s="12">
        <f t="shared" si="26"/>
        <v>740770</v>
      </c>
      <c r="I63" s="103"/>
      <c r="J63" s="116"/>
      <c r="K63" s="113"/>
      <c r="L63" s="113">
        <f>20*0.7</f>
        <v>14</v>
      </c>
      <c r="M63" s="113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20.25" customHeight="1">
      <c r="A64" s="434"/>
      <c r="B64" s="433"/>
      <c r="C64" s="433"/>
      <c r="D64" s="11">
        <v>12996</v>
      </c>
      <c r="E64" s="11">
        <v>19</v>
      </c>
      <c r="F64" s="11"/>
      <c r="G64" s="11">
        <v>3</v>
      </c>
      <c r="H64" s="12">
        <f t="shared" si="26"/>
        <v>740770</v>
      </c>
      <c r="I64" s="103"/>
      <c r="J64" s="116"/>
      <c r="K64" s="113"/>
      <c r="L64" s="113">
        <f>30*0.7</f>
        <v>21</v>
      </c>
      <c r="M64" s="113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20.25" customHeight="1">
      <c r="A65" s="472" t="s">
        <v>157</v>
      </c>
      <c r="B65" s="473"/>
      <c r="C65" s="45"/>
      <c r="D65" s="81"/>
      <c r="E65" s="81"/>
      <c r="F65" s="81"/>
      <c r="G65" s="81"/>
      <c r="H65" s="82">
        <v>500000</v>
      </c>
      <c r="I65" s="103"/>
      <c r="J65" s="116"/>
      <c r="K65" s="113"/>
      <c r="L65" s="113">
        <v>9</v>
      </c>
      <c r="M65" s="113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0.25" customHeight="1">
      <c r="A66" s="434" t="s">
        <v>158</v>
      </c>
      <c r="B66" s="433"/>
      <c r="C66" s="179" t="s">
        <v>152</v>
      </c>
      <c r="D66" s="11">
        <v>19189</v>
      </c>
      <c r="E66" s="11">
        <v>19</v>
      </c>
      <c r="F66" s="11"/>
      <c r="G66" s="11"/>
      <c r="H66" s="12">
        <f>D66*E66</f>
        <v>364591</v>
      </c>
      <c r="I66" s="103"/>
      <c r="J66" s="116"/>
      <c r="K66" s="113"/>
      <c r="L66" s="113"/>
      <c r="M66" s="11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20.25" customHeight="1">
      <c r="A67" s="434" t="s">
        <v>159</v>
      </c>
      <c r="B67" s="433"/>
      <c r="C67" s="179" t="s">
        <v>152</v>
      </c>
      <c r="D67" s="11">
        <v>25772</v>
      </c>
      <c r="E67" s="11">
        <v>19</v>
      </c>
      <c r="F67" s="11"/>
      <c r="G67" s="11"/>
      <c r="H67" s="12">
        <f>D67*E67</f>
        <v>489668</v>
      </c>
      <c r="I67" s="103"/>
      <c r="J67" s="116"/>
      <c r="K67" s="113"/>
      <c r="L67" s="113"/>
      <c r="M67" s="113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20.25" customHeight="1">
      <c r="A68" s="474" t="s">
        <v>160</v>
      </c>
      <c r="B68" s="475"/>
      <c r="C68" s="478" t="s">
        <v>161</v>
      </c>
      <c r="D68" s="11">
        <v>26590</v>
      </c>
      <c r="E68" s="11">
        <v>19</v>
      </c>
      <c r="F68" s="11"/>
      <c r="G68" s="11"/>
      <c r="H68" s="12">
        <f>D68*E68</f>
        <v>505210</v>
      </c>
      <c r="I68" s="103"/>
      <c r="J68" s="116"/>
      <c r="K68" s="113"/>
      <c r="L68" s="113"/>
      <c r="M68" s="113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20.25" customHeight="1">
      <c r="A69" s="476"/>
      <c r="B69" s="477"/>
      <c r="C69" s="467"/>
      <c r="D69" s="11">
        <v>26590</v>
      </c>
      <c r="E69" s="11">
        <v>19</v>
      </c>
      <c r="F69" s="11"/>
      <c r="G69" s="11"/>
      <c r="H69" s="12">
        <f>D69*E69</f>
        <v>505210</v>
      </c>
      <c r="I69" s="103"/>
      <c r="J69" s="116"/>
      <c r="K69" s="113"/>
      <c r="L69" s="113"/>
      <c r="M69" s="113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20.25" customHeight="1" thickBot="1">
      <c r="A70" s="440" t="s">
        <v>137</v>
      </c>
      <c r="B70" s="441"/>
      <c r="C70" s="131"/>
      <c r="D70" s="132"/>
      <c r="E70" s="132"/>
      <c r="F70" s="132"/>
      <c r="G70" s="132"/>
      <c r="H70" s="133">
        <f>SUM(H59:H69)</f>
        <v>31314319</v>
      </c>
      <c r="I70" s="104"/>
      <c r="J70" s="116"/>
      <c r="K70" s="113"/>
      <c r="L70" s="113"/>
      <c r="M70" s="113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20.25" customHeight="1">
      <c r="A71" s="450" t="s">
        <v>162</v>
      </c>
      <c r="B71" s="451"/>
      <c r="C71" s="44" t="s">
        <v>147</v>
      </c>
      <c r="D71" s="44" t="s">
        <v>148</v>
      </c>
      <c r="E71" s="44" t="s">
        <v>149</v>
      </c>
      <c r="F71" s="44"/>
      <c r="G71" s="44" t="s">
        <v>150</v>
      </c>
      <c r="H71" s="130" t="s">
        <v>137</v>
      </c>
      <c r="I71" s="176"/>
      <c r="J71" s="116"/>
      <c r="K71" s="113"/>
      <c r="L71" s="113"/>
      <c r="M71" s="113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20.25" customHeight="1">
      <c r="A72" s="466" t="s">
        <v>163</v>
      </c>
      <c r="B72" s="467"/>
      <c r="C72" s="178"/>
      <c r="D72" s="11">
        <v>50000</v>
      </c>
      <c r="E72" s="11">
        <v>30</v>
      </c>
      <c r="F72" s="47"/>
      <c r="G72" s="47"/>
      <c r="H72" s="12">
        <f>D72*E72</f>
        <v>1500000</v>
      </c>
      <c r="I72" s="103"/>
      <c r="J72" s="116"/>
      <c r="K72" s="113"/>
      <c r="L72" s="113"/>
      <c r="M72" s="113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20.25" customHeight="1">
      <c r="A73" s="466" t="s">
        <v>164</v>
      </c>
      <c r="B73" s="467"/>
      <c r="C73" s="178"/>
      <c r="D73" s="11">
        <v>50000</v>
      </c>
      <c r="E73" s="11">
        <v>30</v>
      </c>
      <c r="F73" s="47"/>
      <c r="G73" s="47"/>
      <c r="H73" s="12">
        <f>D73*E73</f>
        <v>1500000</v>
      </c>
      <c r="I73" s="103"/>
      <c r="J73" s="116"/>
      <c r="K73" s="113"/>
      <c r="L73" s="113"/>
      <c r="M73" s="113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20.25" customHeight="1">
      <c r="A74" s="466" t="s">
        <v>165</v>
      </c>
      <c r="B74" s="467"/>
      <c r="C74" s="178"/>
      <c r="D74" s="11">
        <v>15000</v>
      </c>
      <c r="E74" s="11">
        <v>30</v>
      </c>
      <c r="F74" s="47"/>
      <c r="G74" s="47"/>
      <c r="H74" s="12">
        <f>D74*E74</f>
        <v>450000</v>
      </c>
      <c r="I74" s="103"/>
      <c r="J74" s="116"/>
      <c r="K74" s="113"/>
      <c r="L74" s="113"/>
      <c r="M74" s="113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20.25" customHeight="1">
      <c r="A75" s="177"/>
      <c r="B75" s="178" t="s">
        <v>166</v>
      </c>
      <c r="C75" s="178"/>
      <c r="D75" s="11">
        <v>15000</v>
      </c>
      <c r="E75" s="11">
        <v>30</v>
      </c>
      <c r="F75" s="47"/>
      <c r="G75" s="47"/>
      <c r="H75" s="12">
        <f>D75*E75</f>
        <v>450000</v>
      </c>
      <c r="I75" s="103"/>
      <c r="J75" s="116"/>
      <c r="K75" s="113"/>
      <c r="L75" s="113"/>
      <c r="M75" s="113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3.5">
      <c r="A76" s="466" t="s">
        <v>167</v>
      </c>
      <c r="B76" s="467"/>
      <c r="C76" s="178"/>
      <c r="D76" s="11">
        <v>1500000</v>
      </c>
      <c r="E76" s="11">
        <v>1</v>
      </c>
      <c r="F76" s="47"/>
      <c r="G76" s="47"/>
      <c r="H76" s="12">
        <f>D76*E76</f>
        <v>1500000</v>
      </c>
      <c r="I76" s="103"/>
      <c r="J76" s="112"/>
      <c r="K76" s="113"/>
      <c r="L76" s="113"/>
      <c r="M76" s="11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4.25" thickBot="1">
      <c r="A77" s="440" t="s">
        <v>137</v>
      </c>
      <c r="B77" s="441"/>
      <c r="C77" s="180"/>
      <c r="D77" s="180"/>
      <c r="E77" s="180"/>
      <c r="F77" s="180"/>
      <c r="G77" s="180"/>
      <c r="H77" s="136">
        <f>SUM(H72:H76)</f>
        <v>5400000</v>
      </c>
      <c r="I77" s="105"/>
      <c r="J77" s="111">
        <f>H57+H77</f>
        <v>61550640</v>
      </c>
      <c r="K77" s="113"/>
      <c r="L77" s="113"/>
      <c r="M77" s="113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5" thickBot="1">
      <c r="A78" s="468" t="s">
        <v>168</v>
      </c>
      <c r="B78" s="469"/>
      <c r="C78" s="469"/>
      <c r="D78" s="469"/>
      <c r="E78" s="469"/>
      <c r="F78" s="469"/>
      <c r="G78" s="469"/>
      <c r="H78" s="30">
        <f>H51+H57+H77+H44+H70</f>
        <v>935098469</v>
      </c>
      <c r="I78" s="106"/>
      <c r="J78" s="112"/>
      <c r="K78" s="113"/>
      <c r="L78" s="113"/>
      <c r="M78" s="11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0:13" ht="13.5">
      <c r="J79" s="114"/>
      <c r="K79" s="114"/>
      <c r="L79" s="114"/>
      <c r="M79" s="114"/>
    </row>
  </sheetData>
  <mergeCells count="49">
    <mergeCell ref="B11:B12"/>
    <mergeCell ref="C11:C12"/>
    <mergeCell ref="A11:A12"/>
    <mergeCell ref="A28:A29"/>
    <mergeCell ref="C41:C42"/>
    <mergeCell ref="A76:B76"/>
    <mergeCell ref="A77:B77"/>
    <mergeCell ref="A78:G78"/>
    <mergeCell ref="A58:B58"/>
    <mergeCell ref="A62:B64"/>
    <mergeCell ref="C62:C64"/>
    <mergeCell ref="A65:B65"/>
    <mergeCell ref="A66:B66"/>
    <mergeCell ref="A73:B73"/>
    <mergeCell ref="A71:B71"/>
    <mergeCell ref="A68:B69"/>
    <mergeCell ref="C68:C69"/>
    <mergeCell ref="A72:B72"/>
    <mergeCell ref="A70:B70"/>
    <mergeCell ref="A67:B67"/>
    <mergeCell ref="A74:B74"/>
    <mergeCell ref="A49:B49"/>
    <mergeCell ref="C45:D45"/>
    <mergeCell ref="A46:B46"/>
    <mergeCell ref="A47:B47"/>
    <mergeCell ref="A45:B45"/>
    <mergeCell ref="A48:B48"/>
    <mergeCell ref="C49:D49"/>
    <mergeCell ref="C50:D50"/>
    <mergeCell ref="A52:B52"/>
    <mergeCell ref="A53:B56"/>
    <mergeCell ref="C53:C56"/>
    <mergeCell ref="D53:E53"/>
    <mergeCell ref="A1:N1"/>
    <mergeCell ref="Q1:AC1"/>
    <mergeCell ref="C48:D48"/>
    <mergeCell ref="C59:C61"/>
    <mergeCell ref="A59:B61"/>
    <mergeCell ref="A43:B43"/>
    <mergeCell ref="A44:G44"/>
    <mergeCell ref="A57:B57"/>
    <mergeCell ref="A51:B51"/>
    <mergeCell ref="C51:D51"/>
    <mergeCell ref="C47:D47"/>
    <mergeCell ref="C46:D46"/>
    <mergeCell ref="Q43:R43"/>
    <mergeCell ref="K45:L45"/>
    <mergeCell ref="K46:L46"/>
    <mergeCell ref="A50:B50"/>
  </mergeCells>
  <printOptions/>
  <pageMargins left="0.36" right="0.34" top="0.53" bottom="0.22" header="0.5" footer="0.17"/>
  <pageSetup horizontalDpi="600" verticalDpi="600" orientation="landscape" paperSize="9" scale="65" r:id="rId1"/>
  <colBreaks count="1" manualBreakCount="1">
    <brk id="1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192"/>
  <sheetViews>
    <sheetView workbookViewId="0" topLeftCell="Y1">
      <selection activeCell="AJ5" sqref="AJ5:AJ44"/>
    </sheetView>
  </sheetViews>
  <sheetFormatPr defaultColWidth="8.88671875" defaultRowHeight="13.5"/>
  <cols>
    <col min="1" max="1" width="2.99609375" style="0" customWidth="1"/>
    <col min="2" max="2" width="8.99609375" style="0" customWidth="1"/>
    <col min="3" max="3" width="6.5546875" style="0" customWidth="1"/>
    <col min="4" max="5" width="5.6640625" style="0" customWidth="1"/>
    <col min="6" max="6" width="4.21484375" style="0" customWidth="1"/>
    <col min="7" max="7" width="12.21484375" style="0" customWidth="1"/>
    <col min="8" max="8" width="4.3359375" style="0" customWidth="1"/>
    <col min="9" max="9" width="13.99609375" style="0" customWidth="1"/>
    <col min="10" max="10" width="12.99609375" style="0" customWidth="1"/>
    <col min="11" max="11" width="11.99609375" style="0" customWidth="1"/>
    <col min="12" max="12" width="12.99609375" style="0" customWidth="1"/>
    <col min="13" max="13" width="10.10546875" style="0" customWidth="1"/>
    <col min="14" max="14" width="12.5546875" style="0" customWidth="1"/>
    <col min="15" max="18" width="12.6640625" style="0" customWidth="1"/>
    <col min="19" max="19" width="4.6640625" style="0" customWidth="1"/>
    <col min="20" max="21" width="15.21484375" style="0" customWidth="1"/>
    <col min="22" max="22" width="12.77734375" style="0" customWidth="1"/>
    <col min="23" max="23" width="14.88671875" style="0" customWidth="1"/>
    <col min="24" max="24" width="12.6640625" style="0" customWidth="1"/>
    <col min="25" max="25" width="11.3359375" style="0" customWidth="1"/>
    <col min="26" max="26" width="12.88671875" style="0" customWidth="1"/>
    <col min="27" max="27" width="12.21484375" style="0" customWidth="1"/>
    <col min="28" max="28" width="12.10546875" style="0" customWidth="1"/>
    <col min="29" max="29" width="11.77734375" style="0" customWidth="1"/>
    <col min="30" max="30" width="12.21484375" style="0" customWidth="1"/>
    <col min="31" max="31" width="12.4453125" style="0" customWidth="1"/>
    <col min="32" max="32" width="12.5546875" style="0" customWidth="1"/>
    <col min="33" max="33" width="12.77734375" style="0" customWidth="1"/>
    <col min="34" max="34" width="13.21484375" style="0" customWidth="1"/>
    <col min="35" max="35" width="0.10546875" style="0" customWidth="1"/>
    <col min="36" max="36" width="15.5546875" style="0" customWidth="1"/>
    <col min="37" max="37" width="11.3359375" style="0" customWidth="1"/>
    <col min="38" max="38" width="8.88671875" style="0" customWidth="1"/>
    <col min="39" max="39" width="11.3359375" style="0" customWidth="1"/>
    <col min="40" max="40" width="11.5546875" style="0" customWidth="1"/>
    <col min="41" max="42" width="9.6640625" style="0" customWidth="1"/>
    <col min="43" max="43" width="8.88671875" style="0" customWidth="1"/>
    <col min="44" max="44" width="9.99609375" style="0" customWidth="1"/>
    <col min="45" max="45" width="11.4453125" style="0" customWidth="1"/>
    <col min="46" max="47" width="8.88671875" style="0" customWidth="1"/>
  </cols>
  <sheetData>
    <row r="1" spans="1:36" ht="84.75" customHeight="1" thickBot="1">
      <c r="A1" s="570" t="s">
        <v>191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382"/>
    </row>
    <row r="2" spans="1:39" ht="30" customHeight="1">
      <c r="A2" s="536" t="s">
        <v>87</v>
      </c>
      <c r="B2" s="538" t="s">
        <v>88</v>
      </c>
      <c r="C2" s="571" t="s">
        <v>89</v>
      </c>
      <c r="D2" s="572"/>
      <c r="E2" s="540" t="s">
        <v>192</v>
      </c>
      <c r="F2" s="538" t="s">
        <v>193</v>
      </c>
      <c r="G2" s="538" t="s">
        <v>81</v>
      </c>
      <c r="H2" s="538" t="s">
        <v>92</v>
      </c>
      <c r="I2" s="577" t="s">
        <v>194</v>
      </c>
      <c r="J2" s="525" t="s">
        <v>195</v>
      </c>
      <c r="K2" s="525"/>
      <c r="L2" s="525"/>
      <c r="M2" s="525"/>
      <c r="N2" s="525"/>
      <c r="O2" s="558" t="s">
        <v>196</v>
      </c>
      <c r="P2" s="252"/>
      <c r="Q2" s="252"/>
      <c r="R2" s="252" t="s">
        <v>197</v>
      </c>
      <c r="S2" s="252"/>
      <c r="T2" s="561" t="s">
        <v>198</v>
      </c>
      <c r="U2" s="253"/>
      <c r="V2" s="564" t="s">
        <v>199</v>
      </c>
      <c r="W2" s="561" t="s">
        <v>200</v>
      </c>
      <c r="X2" s="525" t="s">
        <v>201</v>
      </c>
      <c r="Y2" s="525"/>
      <c r="Z2" s="525"/>
      <c r="AA2" s="525"/>
      <c r="AB2" s="525"/>
      <c r="AC2" s="525"/>
      <c r="AD2" s="525"/>
      <c r="AE2" s="525"/>
      <c r="AF2" s="525"/>
      <c r="AG2" s="567" t="s">
        <v>202</v>
      </c>
      <c r="AH2" s="517" t="s">
        <v>203</v>
      </c>
      <c r="AI2" s="518"/>
      <c r="AJ2" s="383"/>
      <c r="AM2" s="556" t="s">
        <v>204</v>
      </c>
    </row>
    <row r="3" spans="1:39" ht="30" customHeight="1">
      <c r="A3" s="537"/>
      <c r="B3" s="539"/>
      <c r="C3" s="573"/>
      <c r="D3" s="574"/>
      <c r="E3" s="541"/>
      <c r="F3" s="539"/>
      <c r="G3" s="539"/>
      <c r="H3" s="539"/>
      <c r="I3" s="578"/>
      <c r="J3" s="521"/>
      <c r="K3" s="521"/>
      <c r="L3" s="521"/>
      <c r="M3" s="521"/>
      <c r="N3" s="521"/>
      <c r="O3" s="559"/>
      <c r="P3" s="254" t="s">
        <v>205</v>
      </c>
      <c r="Q3" s="254" t="s">
        <v>206</v>
      </c>
      <c r="R3" s="254" t="s">
        <v>207</v>
      </c>
      <c r="S3" s="254"/>
      <c r="T3" s="562"/>
      <c r="U3" s="255" t="s">
        <v>208</v>
      </c>
      <c r="V3" s="565"/>
      <c r="W3" s="562"/>
      <c r="X3" s="256">
        <v>0.03035</v>
      </c>
      <c r="Y3" s="13">
        <v>0.0655</v>
      </c>
      <c r="Z3" s="16">
        <v>0.045</v>
      </c>
      <c r="AA3" s="257"/>
      <c r="AB3" s="258">
        <v>0.0055</v>
      </c>
      <c r="AC3" s="13">
        <v>0.009</v>
      </c>
      <c r="AD3" s="258"/>
      <c r="AE3" s="13">
        <v>0.007</v>
      </c>
      <c r="AF3" s="516" t="s">
        <v>209</v>
      </c>
      <c r="AG3" s="568"/>
      <c r="AH3" s="519"/>
      <c r="AI3" s="520"/>
      <c r="AJ3" s="383"/>
      <c r="AM3" s="557"/>
    </row>
    <row r="4" spans="1:42" ht="30" customHeight="1">
      <c r="A4" s="537"/>
      <c r="B4" s="539"/>
      <c r="C4" s="575"/>
      <c r="D4" s="576"/>
      <c r="E4" s="542"/>
      <c r="F4" s="539"/>
      <c r="G4" s="539"/>
      <c r="H4" s="539"/>
      <c r="I4" s="579"/>
      <c r="J4" s="251" t="s">
        <v>210</v>
      </c>
      <c r="K4" s="251" t="s">
        <v>211</v>
      </c>
      <c r="L4" s="251" t="s">
        <v>212</v>
      </c>
      <c r="M4" s="251" t="s">
        <v>213</v>
      </c>
      <c r="N4" s="259" t="s">
        <v>214</v>
      </c>
      <c r="O4" s="560"/>
      <c r="P4" s="260"/>
      <c r="Q4" s="260"/>
      <c r="R4" s="260"/>
      <c r="S4" s="260"/>
      <c r="T4" s="563"/>
      <c r="U4" s="261"/>
      <c r="V4" s="566"/>
      <c r="W4" s="563"/>
      <c r="X4" s="216" t="s">
        <v>215</v>
      </c>
      <c r="Y4" s="216" t="s">
        <v>216</v>
      </c>
      <c r="Z4" s="216" t="s">
        <v>217</v>
      </c>
      <c r="AA4" s="262"/>
      <c r="AB4" s="262" t="s">
        <v>218</v>
      </c>
      <c r="AC4" s="216" t="s">
        <v>219</v>
      </c>
      <c r="AD4" s="262"/>
      <c r="AE4" s="216" t="s">
        <v>220</v>
      </c>
      <c r="AF4" s="516"/>
      <c r="AG4" s="569"/>
      <c r="AH4" s="519"/>
      <c r="AI4" s="520"/>
      <c r="AJ4" s="384"/>
      <c r="AK4" s="263">
        <v>1</v>
      </c>
      <c r="AL4" s="263">
        <v>1</v>
      </c>
      <c r="AM4" s="263">
        <v>1</v>
      </c>
      <c r="AN4" s="263">
        <v>1</v>
      </c>
      <c r="AO4" s="263">
        <v>1</v>
      </c>
      <c r="AP4" s="263">
        <v>1</v>
      </c>
    </row>
    <row r="5" spans="1:44" ht="30" customHeight="1">
      <c r="A5" s="539">
        <v>1</v>
      </c>
      <c r="B5" s="216" t="s">
        <v>221</v>
      </c>
      <c r="C5" s="548" t="s">
        <v>222</v>
      </c>
      <c r="D5" s="548"/>
      <c r="E5" s="264">
        <v>1</v>
      </c>
      <c r="F5" s="264">
        <v>8</v>
      </c>
      <c r="G5" s="265">
        <v>2863000</v>
      </c>
      <c r="H5" s="265">
        <v>2</v>
      </c>
      <c r="I5" s="240">
        <f aca="true" t="shared" si="0" ref="I5:I44">G5*H5</f>
        <v>5726000</v>
      </c>
      <c r="J5" s="266">
        <f>G5*0.6</f>
        <v>1717800</v>
      </c>
      <c r="K5" s="266">
        <f>200000*H5</f>
        <v>400000</v>
      </c>
      <c r="L5" s="266">
        <f aca="true" t="shared" si="1" ref="L5:L10">ROUNDDOWN((I5*20/209*1.5),-1)</f>
        <v>821910</v>
      </c>
      <c r="M5" s="266">
        <f>40000*H5</f>
        <v>80000</v>
      </c>
      <c r="N5" s="267">
        <f>SUM((J5:M5),(J6:M6))</f>
        <v>11477080</v>
      </c>
      <c r="O5" s="268">
        <f>I5+N5+I6</f>
        <v>46963080</v>
      </c>
      <c r="P5" s="268">
        <f>L5+L6</f>
        <v>5093680</v>
      </c>
      <c r="Q5" s="268">
        <f aca="true" t="shared" si="2" ref="Q5:Q10">(P5/12)/20</f>
        <v>21223.666666666664</v>
      </c>
      <c r="R5" s="268">
        <v>48954220</v>
      </c>
      <c r="S5" s="268">
        <v>12</v>
      </c>
      <c r="T5" s="269">
        <f>ROUNDDOWN((R5/S5),-1)</f>
        <v>4079510</v>
      </c>
      <c r="U5" s="269">
        <f>T5*9</f>
        <v>36715590</v>
      </c>
      <c r="V5" s="269">
        <f aca="true" t="shared" si="3" ref="V5:V29">INT((T5*0.045*(H5+H6))/10)*10</f>
        <v>2202930</v>
      </c>
      <c r="W5" s="269">
        <f>O5/12</f>
        <v>3913590</v>
      </c>
      <c r="X5" s="266">
        <f aca="true" t="shared" si="4" ref="X5:X29">INT(W5*$X$3*(H5+H6)/10)*10</f>
        <v>1425320</v>
      </c>
      <c r="Y5" s="266">
        <f>INT(X5*$Y$3/10)*10</f>
        <v>93350</v>
      </c>
      <c r="Z5" s="266">
        <f>V5</f>
        <v>2202930</v>
      </c>
      <c r="AA5" s="270">
        <f>W5</f>
        <v>3913590</v>
      </c>
      <c r="AB5" s="271">
        <f>INT((AA5*$AB$3)*(H5+H6)/10)*10</f>
        <v>258290</v>
      </c>
      <c r="AC5" s="272">
        <f aca="true" t="shared" si="5" ref="AC5:AC29">INT((AA5*$AC$3)*(H5+H6)/10)*10</f>
        <v>422660</v>
      </c>
      <c r="AD5" s="269">
        <f>AA5</f>
        <v>3913590</v>
      </c>
      <c r="AE5" s="266">
        <f aca="true" t="shared" si="6" ref="AE5:AE29">ROUNDDOWN((AD5*$AE$3)*(H5+H6),-1)</f>
        <v>328740</v>
      </c>
      <c r="AF5" s="273">
        <f>SUM(X5,Y5,Z5,AC5,AE5)</f>
        <v>4473000</v>
      </c>
      <c r="AG5" s="273">
        <f>INT(O5/12/10)*10</f>
        <v>3913590</v>
      </c>
      <c r="AH5" s="549">
        <f>O5+AF5+AG5</f>
        <v>55349670</v>
      </c>
      <c r="AI5" s="549"/>
      <c r="AJ5" s="385">
        <f>X5+Y5+Z5+AB5</f>
        <v>3979890</v>
      </c>
      <c r="AK5" s="274">
        <f>X5/$AK$4</f>
        <v>1425320</v>
      </c>
      <c r="AL5" s="275">
        <f>INT(((Y5/$AK$4)/10)*10)</f>
        <v>93350</v>
      </c>
      <c r="AN5" s="275">
        <f>Z5/$AK$4</f>
        <v>2202930</v>
      </c>
      <c r="AO5" s="275">
        <f>AC5/$AK$4</f>
        <v>422660</v>
      </c>
      <c r="AP5" s="275">
        <f>AE5/$AK$4</f>
        <v>328740</v>
      </c>
      <c r="AQ5" s="248" t="s">
        <v>223</v>
      </c>
      <c r="AR5" s="269">
        <f>46967850/12</f>
        <v>3913987.5</v>
      </c>
    </row>
    <row r="6" spans="1:44" ht="30" customHeight="1">
      <c r="A6" s="539"/>
      <c r="B6" s="216" t="s">
        <v>221</v>
      </c>
      <c r="C6" s="548" t="s">
        <v>222</v>
      </c>
      <c r="D6" s="548"/>
      <c r="E6" s="264">
        <v>3</v>
      </c>
      <c r="F6" s="264">
        <v>9</v>
      </c>
      <c r="G6" s="265">
        <v>2976000</v>
      </c>
      <c r="H6" s="265">
        <v>10</v>
      </c>
      <c r="I6" s="240">
        <f t="shared" si="0"/>
        <v>29760000</v>
      </c>
      <c r="J6" s="266">
        <f aca="true" t="shared" si="7" ref="J6:J44">G6*0.6</f>
        <v>1785600</v>
      </c>
      <c r="K6" s="266">
        <f>200000*H6</f>
        <v>2000000</v>
      </c>
      <c r="L6" s="266">
        <f t="shared" si="1"/>
        <v>4271770</v>
      </c>
      <c r="M6" s="266">
        <f>40000*H6</f>
        <v>400000</v>
      </c>
      <c r="N6" s="273"/>
      <c r="O6" s="268"/>
      <c r="P6" s="268"/>
      <c r="Q6" s="268">
        <f t="shared" si="2"/>
        <v>0</v>
      </c>
      <c r="R6" s="268"/>
      <c r="S6" s="268"/>
      <c r="T6" s="269"/>
      <c r="U6" s="269">
        <f aca="true" t="shared" si="8" ref="U6:U43">T6*12</f>
        <v>0</v>
      </c>
      <c r="V6" s="269">
        <f t="shared" si="3"/>
        <v>0</v>
      </c>
      <c r="W6" s="269">
        <f aca="true" t="shared" si="9" ref="W6:W44">O6/12</f>
        <v>0</v>
      </c>
      <c r="X6" s="266">
        <f t="shared" si="4"/>
        <v>0</v>
      </c>
      <c r="Y6" s="266">
        <f aca="true" t="shared" si="10" ref="Y6:Y43">INT(X6*$Y$3/10)*10</f>
        <v>0</v>
      </c>
      <c r="Z6" s="266">
        <f aca="true" t="shared" si="11" ref="Z6:AA43">V6</f>
        <v>0</v>
      </c>
      <c r="AA6" s="270">
        <f t="shared" si="11"/>
        <v>0</v>
      </c>
      <c r="AB6" s="269"/>
      <c r="AC6" s="272">
        <f t="shared" si="5"/>
        <v>0</v>
      </c>
      <c r="AD6" s="269">
        <f aca="true" t="shared" si="12" ref="AD6:AD43">AA6</f>
        <v>0</v>
      </c>
      <c r="AE6" s="266">
        <f t="shared" si="6"/>
        <v>0</v>
      </c>
      <c r="AF6" s="273">
        <f aca="true" t="shared" si="13" ref="AF6:AF43">SUM(X6,Y6,Z6,AC6,AE6)</f>
        <v>0</v>
      </c>
      <c r="AG6" s="273">
        <f aca="true" t="shared" si="14" ref="AG6:AG43">INT(O6/12/10)*10</f>
        <v>0</v>
      </c>
      <c r="AH6" s="276"/>
      <c r="AI6" s="276"/>
      <c r="AJ6" s="385">
        <f aca="true" t="shared" si="15" ref="AJ6:AJ44">X6+Y6+Z6+AB6</f>
        <v>0</v>
      </c>
      <c r="AK6" s="274"/>
      <c r="AL6" s="275"/>
      <c r="AN6" s="275"/>
      <c r="AO6" s="275"/>
      <c r="AP6" s="275"/>
      <c r="AQ6" s="248"/>
      <c r="AR6" s="269"/>
    </row>
    <row r="7" spans="1:44" ht="30" customHeight="1">
      <c r="A7" s="539">
        <v>2</v>
      </c>
      <c r="B7" s="216" t="s">
        <v>224</v>
      </c>
      <c r="C7" s="548" t="s">
        <v>225</v>
      </c>
      <c r="D7" s="548"/>
      <c r="E7" s="264">
        <v>1</v>
      </c>
      <c r="F7" s="264">
        <v>17</v>
      </c>
      <c r="G7" s="265">
        <v>3312000</v>
      </c>
      <c r="H7" s="265">
        <v>3</v>
      </c>
      <c r="I7" s="240">
        <f t="shared" si="0"/>
        <v>9936000</v>
      </c>
      <c r="J7" s="266">
        <f t="shared" si="7"/>
        <v>1987200</v>
      </c>
      <c r="K7" s="266">
        <f>100000*H7</f>
        <v>300000</v>
      </c>
      <c r="L7" s="266">
        <f t="shared" si="1"/>
        <v>1426220</v>
      </c>
      <c r="M7" s="266">
        <f>80000*H7</f>
        <v>240000</v>
      </c>
      <c r="N7" s="267">
        <f>SUM((J7:M7),(J8:M8))</f>
        <v>11949000</v>
      </c>
      <c r="O7" s="268">
        <f>I7+N7+I8</f>
        <v>52215000</v>
      </c>
      <c r="P7" s="268">
        <f aca="true" t="shared" si="16" ref="P7:P43">L7+L8</f>
        <v>5779800</v>
      </c>
      <c r="Q7" s="268">
        <f t="shared" si="2"/>
        <v>24082.5</v>
      </c>
      <c r="R7" s="268">
        <v>55592010</v>
      </c>
      <c r="S7" s="268">
        <v>12</v>
      </c>
      <c r="T7" s="269">
        <f aca="true" t="shared" si="17" ref="T7:T43">ROUNDDOWN((R7/S7),-1)</f>
        <v>4632660</v>
      </c>
      <c r="U7" s="269">
        <f t="shared" si="8"/>
        <v>55591920</v>
      </c>
      <c r="V7" s="269">
        <f t="shared" si="3"/>
        <v>2501630</v>
      </c>
      <c r="W7" s="269">
        <f t="shared" si="9"/>
        <v>4351250</v>
      </c>
      <c r="X7" s="266">
        <f t="shared" si="4"/>
        <v>1584720</v>
      </c>
      <c r="Y7" s="266">
        <f t="shared" si="10"/>
        <v>103790</v>
      </c>
      <c r="Z7" s="266">
        <f t="shared" si="11"/>
        <v>2501630</v>
      </c>
      <c r="AA7" s="270">
        <f t="shared" si="11"/>
        <v>4351250</v>
      </c>
      <c r="AB7" s="271">
        <f>INT((AA7*$AB$3)*(H7+H8)/10)*10</f>
        <v>287180</v>
      </c>
      <c r="AC7" s="272">
        <f t="shared" si="5"/>
        <v>469930</v>
      </c>
      <c r="AD7" s="269">
        <f t="shared" si="12"/>
        <v>4351250</v>
      </c>
      <c r="AE7" s="266">
        <f t="shared" si="6"/>
        <v>365500</v>
      </c>
      <c r="AF7" s="273">
        <f t="shared" si="13"/>
        <v>5025570</v>
      </c>
      <c r="AG7" s="273">
        <f t="shared" si="14"/>
        <v>4351250</v>
      </c>
      <c r="AH7" s="549">
        <f>O7+AF7+AG7</f>
        <v>61591820</v>
      </c>
      <c r="AI7" s="549"/>
      <c r="AJ7" s="385">
        <f t="shared" si="15"/>
        <v>4477320</v>
      </c>
      <c r="AK7" s="274">
        <f>X7/$AK$4</f>
        <v>1584720</v>
      </c>
      <c r="AL7" s="275">
        <f>Y7/$AK$4</f>
        <v>103790</v>
      </c>
      <c r="AM7" s="275">
        <v>156150</v>
      </c>
      <c r="AN7" s="275">
        <f>Z7/$AK$4</f>
        <v>2501630</v>
      </c>
      <c r="AO7" s="275">
        <f>AC7/$AK$4</f>
        <v>469930</v>
      </c>
      <c r="AP7" s="275">
        <f>AE7/$AK$4</f>
        <v>365500</v>
      </c>
      <c r="AQ7" s="248" t="s">
        <v>225</v>
      </c>
      <c r="AR7" s="269">
        <f>47213990/12</f>
        <v>3934499.1666666665</v>
      </c>
    </row>
    <row r="8" spans="1:44" ht="30" customHeight="1">
      <c r="A8" s="539"/>
      <c r="B8" s="216" t="s">
        <v>224</v>
      </c>
      <c r="C8" s="548" t="s">
        <v>225</v>
      </c>
      <c r="D8" s="548"/>
      <c r="E8" s="264">
        <v>4</v>
      </c>
      <c r="F8" s="264">
        <v>18</v>
      </c>
      <c r="G8" s="265">
        <v>3370000</v>
      </c>
      <c r="H8" s="265">
        <v>9</v>
      </c>
      <c r="I8" s="240">
        <f t="shared" si="0"/>
        <v>30330000</v>
      </c>
      <c r="J8" s="266">
        <f t="shared" si="7"/>
        <v>2022000</v>
      </c>
      <c r="K8" s="266">
        <f>100000*H8</f>
        <v>900000</v>
      </c>
      <c r="L8" s="266">
        <f t="shared" si="1"/>
        <v>4353580</v>
      </c>
      <c r="M8" s="266">
        <f>80000*H8</f>
        <v>720000</v>
      </c>
      <c r="N8" s="273"/>
      <c r="O8" s="268"/>
      <c r="P8" s="268"/>
      <c r="Q8" s="268">
        <f t="shared" si="2"/>
        <v>0</v>
      </c>
      <c r="R8" s="268"/>
      <c r="S8" s="268"/>
      <c r="T8" s="269"/>
      <c r="U8" s="269">
        <f t="shared" si="8"/>
        <v>0</v>
      </c>
      <c r="V8" s="269">
        <f t="shared" si="3"/>
        <v>0</v>
      </c>
      <c r="W8" s="269">
        <f t="shared" si="9"/>
        <v>0</v>
      </c>
      <c r="X8" s="266">
        <f t="shared" si="4"/>
        <v>0</v>
      </c>
      <c r="Y8" s="266">
        <f t="shared" si="10"/>
        <v>0</v>
      </c>
      <c r="Z8" s="266">
        <f t="shared" si="11"/>
        <v>0</v>
      </c>
      <c r="AA8" s="270">
        <f t="shared" si="11"/>
        <v>0</v>
      </c>
      <c r="AB8" s="269"/>
      <c r="AC8" s="272">
        <f t="shared" si="5"/>
        <v>0</v>
      </c>
      <c r="AD8" s="269">
        <f t="shared" si="12"/>
        <v>0</v>
      </c>
      <c r="AE8" s="266">
        <f t="shared" si="6"/>
        <v>0</v>
      </c>
      <c r="AF8" s="273">
        <f t="shared" si="13"/>
        <v>0</v>
      </c>
      <c r="AG8" s="273">
        <f t="shared" si="14"/>
        <v>0</v>
      </c>
      <c r="AH8" s="549">
        <f>O8+AF8+AG8</f>
        <v>0</v>
      </c>
      <c r="AI8" s="549"/>
      <c r="AJ8" s="385">
        <f t="shared" si="15"/>
        <v>0</v>
      </c>
      <c r="AK8" s="274"/>
      <c r="AL8" s="275"/>
      <c r="AM8" s="275"/>
      <c r="AN8" s="275"/>
      <c r="AO8" s="275"/>
      <c r="AP8" s="275"/>
      <c r="AQ8" s="248"/>
      <c r="AR8" s="269"/>
    </row>
    <row r="9" spans="1:44" ht="30" customHeight="1">
      <c r="A9" s="539">
        <v>3</v>
      </c>
      <c r="B9" s="251" t="s">
        <v>226</v>
      </c>
      <c r="C9" s="548" t="s">
        <v>227</v>
      </c>
      <c r="D9" s="548"/>
      <c r="E9" s="264">
        <v>1</v>
      </c>
      <c r="F9" s="264">
        <v>10</v>
      </c>
      <c r="G9" s="265">
        <v>2529000</v>
      </c>
      <c r="H9" s="265">
        <v>8</v>
      </c>
      <c r="I9" s="240">
        <f t="shared" si="0"/>
        <v>20232000</v>
      </c>
      <c r="J9" s="266">
        <f t="shared" si="7"/>
        <v>1517400</v>
      </c>
      <c r="K9" s="277"/>
      <c r="L9" s="266">
        <f t="shared" si="1"/>
        <v>2904110</v>
      </c>
      <c r="M9" s="266">
        <f>60000*H9</f>
        <v>480000</v>
      </c>
      <c r="N9" s="267">
        <f>SUM((J9:M9),(J10:M10))</f>
        <v>8216640</v>
      </c>
      <c r="O9" s="268">
        <f>I9+N9+I10</f>
        <v>38924640</v>
      </c>
      <c r="P9" s="268">
        <f t="shared" si="16"/>
        <v>4407840</v>
      </c>
      <c r="Q9" s="268">
        <f t="shared" si="2"/>
        <v>18366</v>
      </c>
      <c r="R9" s="268">
        <v>40728800</v>
      </c>
      <c r="S9" s="268">
        <v>12</v>
      </c>
      <c r="T9" s="269">
        <f t="shared" si="17"/>
        <v>3394060</v>
      </c>
      <c r="U9" s="269">
        <f t="shared" si="8"/>
        <v>40728720</v>
      </c>
      <c r="V9" s="269">
        <f t="shared" si="3"/>
        <v>1832790</v>
      </c>
      <c r="W9" s="269">
        <f t="shared" si="9"/>
        <v>3243720</v>
      </c>
      <c r="X9" s="266">
        <f t="shared" si="4"/>
        <v>1181360</v>
      </c>
      <c r="Y9" s="266">
        <f t="shared" si="10"/>
        <v>77370</v>
      </c>
      <c r="Z9" s="266">
        <f t="shared" si="11"/>
        <v>1832790</v>
      </c>
      <c r="AA9" s="270">
        <f t="shared" si="11"/>
        <v>3243720</v>
      </c>
      <c r="AB9" s="271">
        <f>INT((AA9*$AB$3)*(H9+H10)/10)*10</f>
        <v>214080</v>
      </c>
      <c r="AC9" s="272">
        <f t="shared" si="5"/>
        <v>350320</v>
      </c>
      <c r="AD9" s="269">
        <f t="shared" si="12"/>
        <v>3243720</v>
      </c>
      <c r="AE9" s="266">
        <f t="shared" si="6"/>
        <v>272470</v>
      </c>
      <c r="AF9" s="273">
        <f t="shared" si="13"/>
        <v>3714310</v>
      </c>
      <c r="AG9" s="273">
        <f t="shared" si="14"/>
        <v>3243720</v>
      </c>
      <c r="AH9" s="549">
        <f>O9+AF9+AG9</f>
        <v>45882670</v>
      </c>
      <c r="AI9" s="549"/>
      <c r="AJ9" s="385">
        <f t="shared" si="15"/>
        <v>3305600</v>
      </c>
      <c r="AK9" s="274">
        <f>X9/$AK$4</f>
        <v>1181360</v>
      </c>
      <c r="AL9" s="275">
        <f>Y9/$AK$4</f>
        <v>77370</v>
      </c>
      <c r="AM9" s="275">
        <v>109080</v>
      </c>
      <c r="AN9" s="275">
        <f>Z9/$AK$4</f>
        <v>1832790</v>
      </c>
      <c r="AO9" s="275">
        <f>AC9/$AK$4</f>
        <v>350320</v>
      </c>
      <c r="AP9" s="275">
        <f>AE9/$AK$4</f>
        <v>272470</v>
      </c>
      <c r="AQ9" s="248" t="s">
        <v>227</v>
      </c>
      <c r="AR9" s="269">
        <f>32687910/12</f>
        <v>2723992.5</v>
      </c>
    </row>
    <row r="10" spans="1:44" ht="30" customHeight="1">
      <c r="A10" s="539"/>
      <c r="B10" s="251" t="s">
        <v>226</v>
      </c>
      <c r="C10" s="548" t="s">
        <v>227</v>
      </c>
      <c r="D10" s="548"/>
      <c r="E10" s="264">
        <v>9</v>
      </c>
      <c r="F10" s="264">
        <v>11</v>
      </c>
      <c r="G10" s="265">
        <v>2619000</v>
      </c>
      <c r="H10" s="265">
        <v>4</v>
      </c>
      <c r="I10" s="240">
        <f t="shared" si="0"/>
        <v>10476000</v>
      </c>
      <c r="J10" s="266">
        <f t="shared" si="7"/>
        <v>1571400</v>
      </c>
      <c r="K10" s="277"/>
      <c r="L10" s="266">
        <f t="shared" si="1"/>
        <v>1503730</v>
      </c>
      <c r="M10" s="266">
        <f>60000*H10</f>
        <v>240000</v>
      </c>
      <c r="N10" s="273"/>
      <c r="O10" s="268"/>
      <c r="P10" s="268"/>
      <c r="Q10" s="268">
        <f t="shared" si="2"/>
        <v>0</v>
      </c>
      <c r="R10" s="268"/>
      <c r="S10" s="268"/>
      <c r="T10" s="269"/>
      <c r="U10" s="269">
        <f t="shared" si="8"/>
        <v>0</v>
      </c>
      <c r="V10" s="269">
        <f t="shared" si="3"/>
        <v>0</v>
      </c>
      <c r="W10" s="269">
        <f t="shared" si="9"/>
        <v>0</v>
      </c>
      <c r="X10" s="266">
        <f t="shared" si="4"/>
        <v>0</v>
      </c>
      <c r="Y10" s="266">
        <f t="shared" si="10"/>
        <v>0</v>
      </c>
      <c r="Z10" s="266">
        <f t="shared" si="11"/>
        <v>0</v>
      </c>
      <c r="AA10" s="270">
        <f t="shared" si="11"/>
        <v>0</v>
      </c>
      <c r="AB10" s="269"/>
      <c r="AC10" s="272">
        <f t="shared" si="5"/>
        <v>0</v>
      </c>
      <c r="AD10" s="269">
        <f t="shared" si="12"/>
        <v>0</v>
      </c>
      <c r="AE10" s="266">
        <f t="shared" si="6"/>
        <v>0</v>
      </c>
      <c r="AF10" s="273">
        <f t="shared" si="13"/>
        <v>0</v>
      </c>
      <c r="AG10" s="273">
        <f t="shared" si="14"/>
        <v>0</v>
      </c>
      <c r="AH10" s="276"/>
      <c r="AI10" s="276"/>
      <c r="AJ10" s="385">
        <f t="shared" si="15"/>
        <v>0</v>
      </c>
      <c r="AK10" s="274"/>
      <c r="AL10" s="275"/>
      <c r="AM10" s="275"/>
      <c r="AN10" s="275"/>
      <c r="AO10" s="275"/>
      <c r="AP10" s="275"/>
      <c r="AQ10" s="248"/>
      <c r="AR10" s="269"/>
    </row>
    <row r="11" spans="1:44" ht="30" customHeight="1">
      <c r="A11" s="539">
        <v>4</v>
      </c>
      <c r="B11" s="278" t="s">
        <v>228</v>
      </c>
      <c r="C11" s="548" t="s">
        <v>229</v>
      </c>
      <c r="D11" s="548"/>
      <c r="E11" s="264">
        <v>1</v>
      </c>
      <c r="F11" s="264">
        <v>6</v>
      </c>
      <c r="G11" s="265">
        <v>1893000</v>
      </c>
      <c r="H11" s="265">
        <v>6</v>
      </c>
      <c r="I11" s="240">
        <f t="shared" si="0"/>
        <v>11358000</v>
      </c>
      <c r="J11" s="266">
        <f t="shared" si="7"/>
        <v>1135800</v>
      </c>
      <c r="K11" s="279"/>
      <c r="L11" s="266">
        <f>ROUNDDOWN((I11*40/209*1.5),-1)</f>
        <v>3260660</v>
      </c>
      <c r="M11" s="279">
        <f>40000*H11</f>
        <v>240000</v>
      </c>
      <c r="N11" s="267">
        <f>SUM((J11:M11),(J12:M12))</f>
        <v>9382080</v>
      </c>
      <c r="O11" s="268">
        <f>I11+N11+I12</f>
        <v>32380080</v>
      </c>
      <c r="P11" s="268">
        <f t="shared" si="16"/>
        <v>6602280</v>
      </c>
      <c r="Q11" s="268">
        <f>(P11/12)/40</f>
        <v>13754.75</v>
      </c>
      <c r="R11" s="268">
        <v>33465850</v>
      </c>
      <c r="S11" s="268">
        <v>12</v>
      </c>
      <c r="T11" s="269">
        <f t="shared" si="17"/>
        <v>2788820</v>
      </c>
      <c r="U11" s="269">
        <f t="shared" si="8"/>
        <v>33465840</v>
      </c>
      <c r="V11" s="269">
        <f t="shared" si="3"/>
        <v>1505960</v>
      </c>
      <c r="W11" s="269">
        <f t="shared" si="9"/>
        <v>2698340</v>
      </c>
      <c r="X11" s="266">
        <f t="shared" si="4"/>
        <v>982730</v>
      </c>
      <c r="Y11" s="266">
        <f t="shared" si="10"/>
        <v>64360</v>
      </c>
      <c r="Z11" s="266">
        <f t="shared" si="11"/>
        <v>1505960</v>
      </c>
      <c r="AA11" s="270">
        <f t="shared" si="11"/>
        <v>2698340</v>
      </c>
      <c r="AB11" s="271">
        <f>INT((AA11*$AB$3)*(H11+H12)/10)*10</f>
        <v>178090</v>
      </c>
      <c r="AC11" s="272">
        <f t="shared" si="5"/>
        <v>291420</v>
      </c>
      <c r="AD11" s="269">
        <f t="shared" si="12"/>
        <v>2698340</v>
      </c>
      <c r="AE11" s="266">
        <f t="shared" si="6"/>
        <v>226660</v>
      </c>
      <c r="AF11" s="273">
        <f t="shared" si="13"/>
        <v>3071130</v>
      </c>
      <c r="AG11" s="273">
        <f t="shared" si="14"/>
        <v>2698340</v>
      </c>
      <c r="AH11" s="549">
        <f>O11+AF11+AG11</f>
        <v>38149550</v>
      </c>
      <c r="AI11" s="549"/>
      <c r="AJ11" s="385">
        <f t="shared" si="15"/>
        <v>2731140</v>
      </c>
      <c r="AK11" s="274">
        <f>X11/$AK$4</f>
        <v>982730</v>
      </c>
      <c r="AL11" s="275">
        <f>Y11/$AK$4</f>
        <v>64360</v>
      </c>
      <c r="AM11" s="275">
        <v>101790</v>
      </c>
      <c r="AN11" s="275">
        <f>Z11/$AK$4</f>
        <v>1505960</v>
      </c>
      <c r="AO11" s="275">
        <f>AC11/$AK$4</f>
        <v>291420</v>
      </c>
      <c r="AP11" s="275">
        <f>AE11/$AK$4</f>
        <v>226660</v>
      </c>
      <c r="AQ11" s="248" t="s">
        <v>229</v>
      </c>
      <c r="AR11" s="269">
        <f>30459010/12</f>
        <v>2538250.8333333335</v>
      </c>
    </row>
    <row r="12" spans="1:44" ht="30" customHeight="1">
      <c r="A12" s="539"/>
      <c r="B12" s="278" t="s">
        <v>228</v>
      </c>
      <c r="C12" s="548" t="s">
        <v>229</v>
      </c>
      <c r="D12" s="548"/>
      <c r="E12" s="264">
        <v>7</v>
      </c>
      <c r="F12" s="264">
        <v>7</v>
      </c>
      <c r="G12" s="265">
        <v>1940000</v>
      </c>
      <c r="H12" s="265">
        <v>6</v>
      </c>
      <c r="I12" s="240">
        <f t="shared" si="0"/>
        <v>11640000</v>
      </c>
      <c r="J12" s="266">
        <f t="shared" si="7"/>
        <v>1164000</v>
      </c>
      <c r="K12" s="279"/>
      <c r="L12" s="266">
        <f aca="true" t="shared" si="18" ref="L12:L32">ROUNDDOWN((I12*40/209*1.5),-1)</f>
        <v>3341620</v>
      </c>
      <c r="M12" s="279">
        <f>40000*H12</f>
        <v>240000</v>
      </c>
      <c r="N12" s="273"/>
      <c r="O12" s="268"/>
      <c r="P12" s="268"/>
      <c r="Q12" s="268">
        <f aca="true" t="shared" si="19" ref="Q12:Q36">(P12/12)/40</f>
        <v>0</v>
      </c>
      <c r="R12" s="268"/>
      <c r="S12" s="268"/>
      <c r="T12" s="269"/>
      <c r="U12" s="269">
        <f t="shared" si="8"/>
        <v>0</v>
      </c>
      <c r="V12" s="269">
        <f t="shared" si="3"/>
        <v>0</v>
      </c>
      <c r="W12" s="269">
        <f t="shared" si="9"/>
        <v>0</v>
      </c>
      <c r="X12" s="266">
        <f t="shared" si="4"/>
        <v>0</v>
      </c>
      <c r="Y12" s="266">
        <f t="shared" si="10"/>
        <v>0</v>
      </c>
      <c r="Z12" s="266">
        <f t="shared" si="11"/>
        <v>0</v>
      </c>
      <c r="AA12" s="270">
        <f t="shared" si="11"/>
        <v>0</v>
      </c>
      <c r="AB12" s="269"/>
      <c r="AC12" s="272">
        <f t="shared" si="5"/>
        <v>0</v>
      </c>
      <c r="AD12" s="269">
        <f t="shared" si="12"/>
        <v>0</v>
      </c>
      <c r="AE12" s="266">
        <f t="shared" si="6"/>
        <v>0</v>
      </c>
      <c r="AF12" s="273">
        <f t="shared" si="13"/>
        <v>0</v>
      </c>
      <c r="AG12" s="273">
        <f t="shared" si="14"/>
        <v>0</v>
      </c>
      <c r="AH12" s="276"/>
      <c r="AI12" s="276"/>
      <c r="AJ12" s="385">
        <f t="shared" si="15"/>
        <v>0</v>
      </c>
      <c r="AK12" s="274"/>
      <c r="AL12" s="275"/>
      <c r="AM12" s="275"/>
      <c r="AN12" s="275"/>
      <c r="AO12" s="275"/>
      <c r="AP12" s="275"/>
      <c r="AQ12" s="248"/>
      <c r="AR12" s="269"/>
    </row>
    <row r="13" spans="1:44" ht="30" customHeight="1">
      <c r="A13" s="539">
        <v>5</v>
      </c>
      <c r="B13" s="278" t="s">
        <v>228</v>
      </c>
      <c r="C13" s="548" t="s">
        <v>230</v>
      </c>
      <c r="D13" s="548"/>
      <c r="E13" s="264">
        <v>1</v>
      </c>
      <c r="F13" s="264">
        <v>13</v>
      </c>
      <c r="G13" s="265">
        <v>2293000</v>
      </c>
      <c r="H13" s="265">
        <v>10</v>
      </c>
      <c r="I13" s="240">
        <f t="shared" si="0"/>
        <v>22930000</v>
      </c>
      <c r="J13" s="266">
        <f>G13*1.2</f>
        <v>2751600</v>
      </c>
      <c r="K13" s="279"/>
      <c r="L13" s="266">
        <f t="shared" si="18"/>
        <v>6582770</v>
      </c>
      <c r="M13" s="279">
        <f>80000*H13</f>
        <v>800000</v>
      </c>
      <c r="N13" s="267">
        <f>SUM((J13:M13),(J14:M14))</f>
        <v>11770540</v>
      </c>
      <c r="O13" s="268">
        <f>I13+N13+I14</f>
        <v>39842540</v>
      </c>
      <c r="P13" s="268">
        <f t="shared" si="16"/>
        <v>8058940</v>
      </c>
      <c r="Q13" s="268">
        <f t="shared" si="19"/>
        <v>16789.458333333336</v>
      </c>
      <c r="R13" s="268">
        <v>41195480</v>
      </c>
      <c r="S13" s="268">
        <v>12</v>
      </c>
      <c r="T13" s="269">
        <f t="shared" si="17"/>
        <v>3432950</v>
      </c>
      <c r="U13" s="269">
        <f t="shared" si="8"/>
        <v>41195400</v>
      </c>
      <c r="V13" s="269">
        <f t="shared" si="3"/>
        <v>1853790</v>
      </c>
      <c r="W13" s="269">
        <f t="shared" si="9"/>
        <v>3320211.6666666665</v>
      </c>
      <c r="X13" s="266">
        <f t="shared" si="4"/>
        <v>1209220</v>
      </c>
      <c r="Y13" s="266">
        <f t="shared" si="10"/>
        <v>79200</v>
      </c>
      <c r="Z13" s="266">
        <f t="shared" si="11"/>
        <v>1853790</v>
      </c>
      <c r="AA13" s="270">
        <f t="shared" si="11"/>
        <v>3320211.6666666665</v>
      </c>
      <c r="AB13" s="271">
        <f>INT((AA13*$AB$3)*(H13+H14)/10)*10</f>
        <v>219130</v>
      </c>
      <c r="AC13" s="272">
        <f t="shared" si="5"/>
        <v>358580</v>
      </c>
      <c r="AD13" s="269">
        <f t="shared" si="12"/>
        <v>3320211.6666666665</v>
      </c>
      <c r="AE13" s="266">
        <f t="shared" si="6"/>
        <v>278890</v>
      </c>
      <c r="AF13" s="273">
        <f t="shared" si="13"/>
        <v>3779680</v>
      </c>
      <c r="AG13" s="273">
        <f t="shared" si="14"/>
        <v>3320210</v>
      </c>
      <c r="AH13" s="549">
        <f>O13+AF13+AG13</f>
        <v>46942430</v>
      </c>
      <c r="AI13" s="549"/>
      <c r="AJ13" s="385">
        <f t="shared" si="15"/>
        <v>3361340</v>
      </c>
      <c r="AK13" s="274"/>
      <c r="AL13" s="275"/>
      <c r="AM13" s="275"/>
      <c r="AN13" s="275"/>
      <c r="AO13" s="275"/>
      <c r="AP13" s="275"/>
      <c r="AQ13" s="248"/>
      <c r="AR13" s="269"/>
    </row>
    <row r="14" spans="1:44" ht="30" customHeight="1">
      <c r="A14" s="539"/>
      <c r="B14" s="278" t="s">
        <v>228</v>
      </c>
      <c r="C14" s="548" t="s">
        <v>230</v>
      </c>
      <c r="D14" s="548"/>
      <c r="E14" s="264">
        <v>11</v>
      </c>
      <c r="F14" s="264">
        <v>14</v>
      </c>
      <c r="G14" s="265">
        <v>2571000</v>
      </c>
      <c r="H14" s="265">
        <v>2</v>
      </c>
      <c r="I14" s="240">
        <f t="shared" si="0"/>
        <v>5142000</v>
      </c>
      <c r="J14" s="266"/>
      <c r="K14" s="279"/>
      <c r="L14" s="266">
        <f t="shared" si="18"/>
        <v>1476170</v>
      </c>
      <c r="M14" s="279">
        <f>80000*H14</f>
        <v>160000</v>
      </c>
      <c r="N14" s="273"/>
      <c r="O14" s="268"/>
      <c r="P14" s="268"/>
      <c r="Q14" s="268">
        <f t="shared" si="19"/>
        <v>0</v>
      </c>
      <c r="R14" s="268"/>
      <c r="S14" s="268"/>
      <c r="T14" s="269"/>
      <c r="U14" s="269">
        <f t="shared" si="8"/>
        <v>0</v>
      </c>
      <c r="V14" s="269">
        <f t="shared" si="3"/>
        <v>0</v>
      </c>
      <c r="W14" s="269">
        <f t="shared" si="9"/>
        <v>0</v>
      </c>
      <c r="X14" s="266">
        <f t="shared" si="4"/>
        <v>0</v>
      </c>
      <c r="Y14" s="266">
        <f t="shared" si="10"/>
        <v>0</v>
      </c>
      <c r="Z14" s="266">
        <f t="shared" si="11"/>
        <v>0</v>
      </c>
      <c r="AA14" s="270">
        <f t="shared" si="11"/>
        <v>0</v>
      </c>
      <c r="AB14" s="269"/>
      <c r="AC14" s="272">
        <f t="shared" si="5"/>
        <v>0</v>
      </c>
      <c r="AD14" s="269">
        <f t="shared" si="12"/>
        <v>0</v>
      </c>
      <c r="AE14" s="266">
        <f t="shared" si="6"/>
        <v>0</v>
      </c>
      <c r="AF14" s="273">
        <f t="shared" si="13"/>
        <v>0</v>
      </c>
      <c r="AG14" s="273">
        <f t="shared" si="14"/>
        <v>0</v>
      </c>
      <c r="AH14" s="276"/>
      <c r="AI14" s="276"/>
      <c r="AJ14" s="385">
        <f t="shared" si="15"/>
        <v>0</v>
      </c>
      <c r="AK14" s="274"/>
      <c r="AL14" s="275"/>
      <c r="AM14" s="275"/>
      <c r="AN14" s="275"/>
      <c r="AO14" s="275"/>
      <c r="AP14" s="275"/>
      <c r="AQ14" s="248"/>
      <c r="AR14" s="269"/>
    </row>
    <row r="15" spans="1:44" s="43" customFormat="1" ht="30" customHeight="1">
      <c r="A15" s="539">
        <v>6</v>
      </c>
      <c r="B15" s="278" t="s">
        <v>228</v>
      </c>
      <c r="C15" s="548" t="s">
        <v>231</v>
      </c>
      <c r="D15" s="548"/>
      <c r="E15" s="280">
        <v>1</v>
      </c>
      <c r="F15" s="264">
        <v>6</v>
      </c>
      <c r="G15" s="265">
        <v>1893000</v>
      </c>
      <c r="H15" s="265">
        <v>3</v>
      </c>
      <c r="I15" s="240">
        <f t="shared" si="0"/>
        <v>5679000</v>
      </c>
      <c r="J15" s="266">
        <f t="shared" si="7"/>
        <v>1135800</v>
      </c>
      <c r="K15" s="279"/>
      <c r="L15" s="266">
        <f t="shared" si="18"/>
        <v>1630330</v>
      </c>
      <c r="M15" s="279"/>
      <c r="N15" s="267">
        <f>SUM((J15:M15),(J16:M16))</f>
        <v>9146320</v>
      </c>
      <c r="O15" s="268">
        <f>I15+N15+I16</f>
        <v>32861320</v>
      </c>
      <c r="P15" s="268">
        <f t="shared" si="16"/>
        <v>6808120</v>
      </c>
      <c r="Q15" s="268">
        <f t="shared" si="19"/>
        <v>14183.583333333334</v>
      </c>
      <c r="R15" s="268">
        <v>33437740</v>
      </c>
      <c r="S15" s="268">
        <v>12</v>
      </c>
      <c r="T15" s="269">
        <f t="shared" si="17"/>
        <v>2786470</v>
      </c>
      <c r="U15" s="269">
        <f t="shared" si="8"/>
        <v>33437640</v>
      </c>
      <c r="V15" s="269">
        <f t="shared" si="3"/>
        <v>1504690</v>
      </c>
      <c r="W15" s="269">
        <f t="shared" si="9"/>
        <v>2738443.3333333335</v>
      </c>
      <c r="X15" s="266">
        <f t="shared" si="4"/>
        <v>997340</v>
      </c>
      <c r="Y15" s="266">
        <f t="shared" si="10"/>
        <v>65320</v>
      </c>
      <c r="Z15" s="266">
        <f t="shared" si="11"/>
        <v>1504690</v>
      </c>
      <c r="AA15" s="270">
        <f t="shared" si="11"/>
        <v>2738443.3333333335</v>
      </c>
      <c r="AB15" s="271">
        <f>INT((AA15*$AB$3)*(H15+H16)/10)*10</f>
        <v>180730</v>
      </c>
      <c r="AC15" s="272">
        <f t="shared" si="5"/>
        <v>295750</v>
      </c>
      <c r="AD15" s="269">
        <f t="shared" si="12"/>
        <v>2738443.3333333335</v>
      </c>
      <c r="AE15" s="266">
        <f t="shared" si="6"/>
        <v>230020</v>
      </c>
      <c r="AF15" s="273">
        <f t="shared" si="13"/>
        <v>3093120</v>
      </c>
      <c r="AG15" s="273">
        <f t="shared" si="14"/>
        <v>2738440</v>
      </c>
      <c r="AH15" s="549">
        <f>O15+AF15+AG15</f>
        <v>38692880</v>
      </c>
      <c r="AI15" s="549"/>
      <c r="AJ15" s="385">
        <f t="shared" si="15"/>
        <v>2748080</v>
      </c>
      <c r="AK15" s="274">
        <f>X15/$AK$4</f>
        <v>997340</v>
      </c>
      <c r="AL15" s="275">
        <f>Y15/$AK$4</f>
        <v>65320</v>
      </c>
      <c r="AM15" s="275">
        <v>100800</v>
      </c>
      <c r="AN15" s="275">
        <f>Z15/$AK$4</f>
        <v>1504690</v>
      </c>
      <c r="AO15" s="275">
        <f>AC15/$AK$4</f>
        <v>295750</v>
      </c>
      <c r="AP15" s="275">
        <f>AE15/$AK$4</f>
        <v>230020</v>
      </c>
      <c r="AQ15" s="248" t="s">
        <v>231</v>
      </c>
      <c r="AR15" s="269">
        <f>30038260/12</f>
        <v>2503188.3333333335</v>
      </c>
    </row>
    <row r="16" spans="1:44" s="242" customFormat="1" ht="30" customHeight="1" thickBot="1">
      <c r="A16" s="539"/>
      <c r="B16" s="278" t="s">
        <v>228</v>
      </c>
      <c r="C16" s="548" t="s">
        <v>231</v>
      </c>
      <c r="D16" s="548"/>
      <c r="E16" s="264">
        <v>4</v>
      </c>
      <c r="F16" s="264">
        <v>7</v>
      </c>
      <c r="G16" s="265">
        <v>2004000</v>
      </c>
      <c r="H16" s="265">
        <v>9</v>
      </c>
      <c r="I16" s="240">
        <f t="shared" si="0"/>
        <v>18036000</v>
      </c>
      <c r="J16" s="266">
        <f t="shared" si="7"/>
        <v>1202400</v>
      </c>
      <c r="K16" s="279"/>
      <c r="L16" s="266">
        <f t="shared" si="18"/>
        <v>5177790</v>
      </c>
      <c r="M16" s="279"/>
      <c r="N16" s="273"/>
      <c r="O16" s="268"/>
      <c r="P16" s="268"/>
      <c r="Q16" s="268">
        <f t="shared" si="19"/>
        <v>0</v>
      </c>
      <c r="R16" s="268"/>
      <c r="S16" s="268"/>
      <c r="T16" s="269"/>
      <c r="U16" s="269">
        <f t="shared" si="8"/>
        <v>0</v>
      </c>
      <c r="V16" s="269">
        <f t="shared" si="3"/>
        <v>0</v>
      </c>
      <c r="W16" s="269">
        <f t="shared" si="9"/>
        <v>0</v>
      </c>
      <c r="X16" s="266">
        <f t="shared" si="4"/>
        <v>0</v>
      </c>
      <c r="Y16" s="266">
        <f t="shared" si="10"/>
        <v>0</v>
      </c>
      <c r="Z16" s="266">
        <f t="shared" si="11"/>
        <v>0</v>
      </c>
      <c r="AA16" s="270">
        <f t="shared" si="11"/>
        <v>0</v>
      </c>
      <c r="AB16" s="269"/>
      <c r="AC16" s="272">
        <f t="shared" si="5"/>
        <v>0</v>
      </c>
      <c r="AD16" s="269">
        <f t="shared" si="12"/>
        <v>0</v>
      </c>
      <c r="AE16" s="266">
        <f t="shared" si="6"/>
        <v>0</v>
      </c>
      <c r="AF16" s="273">
        <f t="shared" si="13"/>
        <v>0</v>
      </c>
      <c r="AG16" s="273">
        <f t="shared" si="14"/>
        <v>0</v>
      </c>
      <c r="AH16" s="276"/>
      <c r="AI16" s="276"/>
      <c r="AJ16" s="385">
        <f t="shared" si="15"/>
        <v>0</v>
      </c>
      <c r="AK16" s="281"/>
      <c r="AL16" s="282"/>
      <c r="AM16" s="282"/>
      <c r="AN16" s="282"/>
      <c r="AO16" s="282"/>
      <c r="AP16" s="282"/>
      <c r="AQ16" s="246"/>
      <c r="AR16" s="283"/>
    </row>
    <row r="17" spans="1:44" s="287" customFormat="1" ht="30" customHeight="1" thickTop="1">
      <c r="A17" s="539">
        <v>7</v>
      </c>
      <c r="B17" s="278" t="s">
        <v>228</v>
      </c>
      <c r="C17" s="548" t="s">
        <v>232</v>
      </c>
      <c r="D17" s="548"/>
      <c r="E17" s="264">
        <v>1</v>
      </c>
      <c r="F17" s="264">
        <v>6</v>
      </c>
      <c r="G17" s="265">
        <v>1893000</v>
      </c>
      <c r="H17" s="265">
        <v>7</v>
      </c>
      <c r="I17" s="240">
        <f t="shared" si="0"/>
        <v>13251000</v>
      </c>
      <c r="J17" s="266">
        <f t="shared" si="7"/>
        <v>1135800</v>
      </c>
      <c r="K17" s="279"/>
      <c r="L17" s="266">
        <f t="shared" si="18"/>
        <v>3804110</v>
      </c>
      <c r="M17" s="279"/>
      <c r="N17" s="267">
        <f>SUM((J17:M17),(J18:M18))</f>
        <v>8888590</v>
      </c>
      <c r="O17" s="268">
        <f>I17+N17+I18</f>
        <v>31839590</v>
      </c>
      <c r="P17" s="268">
        <f t="shared" si="16"/>
        <v>6588790</v>
      </c>
      <c r="Q17" s="268">
        <f t="shared" si="19"/>
        <v>13726.645833333334</v>
      </c>
      <c r="R17" s="268">
        <v>32835210</v>
      </c>
      <c r="S17" s="268">
        <v>12</v>
      </c>
      <c r="T17" s="269">
        <f t="shared" si="17"/>
        <v>2736260</v>
      </c>
      <c r="U17" s="269">
        <f t="shared" si="8"/>
        <v>32835120</v>
      </c>
      <c r="V17" s="269">
        <f t="shared" si="3"/>
        <v>1477580</v>
      </c>
      <c r="W17" s="269">
        <f t="shared" si="9"/>
        <v>2653299.1666666665</v>
      </c>
      <c r="X17" s="266">
        <f t="shared" si="4"/>
        <v>966330</v>
      </c>
      <c r="Y17" s="266">
        <f t="shared" si="10"/>
        <v>63290</v>
      </c>
      <c r="Z17" s="266">
        <f t="shared" si="11"/>
        <v>1477580</v>
      </c>
      <c r="AA17" s="270">
        <f t="shared" si="11"/>
        <v>2653299.1666666665</v>
      </c>
      <c r="AB17" s="271">
        <f>INT((AA17*$AB$3)*(H17+H18)/10)*10</f>
        <v>175110</v>
      </c>
      <c r="AC17" s="272">
        <f t="shared" si="5"/>
        <v>286550</v>
      </c>
      <c r="AD17" s="269">
        <f t="shared" si="12"/>
        <v>2653299.1666666665</v>
      </c>
      <c r="AE17" s="266">
        <f t="shared" si="6"/>
        <v>222870</v>
      </c>
      <c r="AF17" s="273">
        <f t="shared" si="13"/>
        <v>3016620</v>
      </c>
      <c r="AG17" s="273">
        <f t="shared" si="14"/>
        <v>2653290</v>
      </c>
      <c r="AH17" s="549">
        <f>O17+AF17+AG17</f>
        <v>37509500</v>
      </c>
      <c r="AI17" s="549"/>
      <c r="AJ17" s="385">
        <f t="shared" si="15"/>
        <v>2682310</v>
      </c>
      <c r="AK17" s="284">
        <f>X17/$AK$4</f>
        <v>966330</v>
      </c>
      <c r="AL17" s="285">
        <f>Y17/$AK$4</f>
        <v>63290</v>
      </c>
      <c r="AM17" s="285">
        <v>91890</v>
      </c>
      <c r="AN17" s="285">
        <f>Z17/$AK$4</f>
        <v>1477580</v>
      </c>
      <c r="AO17" s="285">
        <f>AC17/$AK$4</f>
        <v>286550</v>
      </c>
      <c r="AP17" s="285">
        <f>AE17/$AK$4</f>
        <v>222870</v>
      </c>
      <c r="AQ17" s="245" t="s">
        <v>232</v>
      </c>
      <c r="AR17" s="286">
        <f>29751760/12</f>
        <v>2479313.3333333335</v>
      </c>
    </row>
    <row r="18" spans="1:44" s="242" customFormat="1" ht="30" customHeight="1" thickBot="1">
      <c r="A18" s="539"/>
      <c r="B18" s="278" t="s">
        <v>228</v>
      </c>
      <c r="C18" s="548" t="s">
        <v>232</v>
      </c>
      <c r="D18" s="548"/>
      <c r="E18" s="264">
        <v>8</v>
      </c>
      <c r="F18" s="264">
        <v>7</v>
      </c>
      <c r="G18" s="265">
        <v>1940000</v>
      </c>
      <c r="H18" s="265">
        <v>5</v>
      </c>
      <c r="I18" s="240">
        <f t="shared" si="0"/>
        <v>9700000</v>
      </c>
      <c r="J18" s="266">
        <f t="shared" si="7"/>
        <v>1164000</v>
      </c>
      <c r="K18" s="279"/>
      <c r="L18" s="266">
        <f t="shared" si="18"/>
        <v>2784680</v>
      </c>
      <c r="M18" s="279"/>
      <c r="N18" s="273"/>
      <c r="O18" s="268"/>
      <c r="P18" s="268"/>
      <c r="Q18" s="268">
        <f t="shared" si="19"/>
        <v>0</v>
      </c>
      <c r="R18" s="268"/>
      <c r="S18" s="268"/>
      <c r="T18" s="269"/>
      <c r="U18" s="269">
        <f t="shared" si="8"/>
        <v>0</v>
      </c>
      <c r="V18" s="269">
        <f t="shared" si="3"/>
        <v>0</v>
      </c>
      <c r="W18" s="269">
        <f t="shared" si="9"/>
        <v>0</v>
      </c>
      <c r="X18" s="266">
        <f t="shared" si="4"/>
        <v>0</v>
      </c>
      <c r="Y18" s="266">
        <f t="shared" si="10"/>
        <v>0</v>
      </c>
      <c r="Z18" s="266">
        <f t="shared" si="11"/>
        <v>0</v>
      </c>
      <c r="AA18" s="270">
        <f t="shared" si="11"/>
        <v>0</v>
      </c>
      <c r="AB18" s="269"/>
      <c r="AC18" s="272">
        <f t="shared" si="5"/>
        <v>0</v>
      </c>
      <c r="AD18" s="269">
        <f t="shared" si="12"/>
        <v>0</v>
      </c>
      <c r="AE18" s="266">
        <f t="shared" si="6"/>
        <v>0</v>
      </c>
      <c r="AF18" s="273">
        <f t="shared" si="13"/>
        <v>0</v>
      </c>
      <c r="AG18" s="273">
        <f t="shared" si="14"/>
        <v>0</v>
      </c>
      <c r="AH18" s="276"/>
      <c r="AI18" s="276"/>
      <c r="AJ18" s="385">
        <f t="shared" si="15"/>
        <v>0</v>
      </c>
      <c r="AK18" s="281"/>
      <c r="AL18" s="282"/>
      <c r="AM18" s="282"/>
      <c r="AN18" s="282"/>
      <c r="AO18" s="282"/>
      <c r="AP18" s="282"/>
      <c r="AQ18" s="246"/>
      <c r="AR18" s="283"/>
    </row>
    <row r="19" spans="1:44" s="287" customFormat="1" ht="30" customHeight="1" thickTop="1">
      <c r="A19" s="539">
        <v>8</v>
      </c>
      <c r="B19" s="278" t="s">
        <v>228</v>
      </c>
      <c r="C19" s="548" t="s">
        <v>233</v>
      </c>
      <c r="D19" s="548"/>
      <c r="E19" s="264">
        <v>1</v>
      </c>
      <c r="F19" s="264">
        <v>6</v>
      </c>
      <c r="G19" s="265">
        <v>1893000</v>
      </c>
      <c r="H19" s="265">
        <v>8</v>
      </c>
      <c r="I19" s="240">
        <f t="shared" si="0"/>
        <v>15144000</v>
      </c>
      <c r="J19" s="266">
        <f t="shared" si="7"/>
        <v>1135800</v>
      </c>
      <c r="K19" s="279"/>
      <c r="L19" s="266">
        <f t="shared" si="18"/>
        <v>4347550</v>
      </c>
      <c r="M19" s="279">
        <f>60000*H19</f>
        <v>480000</v>
      </c>
      <c r="N19" s="267">
        <f>SUM((J19:M19),(J20:M20))</f>
        <v>9595100</v>
      </c>
      <c r="O19" s="268">
        <f>I19+N19+I20</f>
        <v>32499100</v>
      </c>
      <c r="P19" s="268">
        <f t="shared" si="16"/>
        <v>6575300</v>
      </c>
      <c r="Q19" s="268">
        <f t="shared" si="19"/>
        <v>13698.541666666666</v>
      </c>
      <c r="R19" s="268">
        <v>33404580</v>
      </c>
      <c r="S19" s="268">
        <v>12</v>
      </c>
      <c r="T19" s="269">
        <f t="shared" si="17"/>
        <v>2783710</v>
      </c>
      <c r="U19" s="269">
        <f t="shared" si="8"/>
        <v>33404520</v>
      </c>
      <c r="V19" s="269">
        <f t="shared" si="3"/>
        <v>1503200</v>
      </c>
      <c r="W19" s="269">
        <f t="shared" si="9"/>
        <v>2708258.3333333335</v>
      </c>
      <c r="X19" s="266">
        <f t="shared" si="4"/>
        <v>986340</v>
      </c>
      <c r="Y19" s="266">
        <f t="shared" si="10"/>
        <v>64600</v>
      </c>
      <c r="Z19" s="266">
        <f t="shared" si="11"/>
        <v>1503200</v>
      </c>
      <c r="AA19" s="270">
        <f t="shared" si="11"/>
        <v>2708258.3333333335</v>
      </c>
      <c r="AB19" s="271">
        <f>INT((AA19*$AB$3)*(H19+H20)/10)*10</f>
        <v>178740</v>
      </c>
      <c r="AC19" s="272">
        <f t="shared" si="5"/>
        <v>292490</v>
      </c>
      <c r="AD19" s="269">
        <f t="shared" si="12"/>
        <v>2708258.3333333335</v>
      </c>
      <c r="AE19" s="266">
        <f t="shared" si="6"/>
        <v>227490</v>
      </c>
      <c r="AF19" s="273">
        <f t="shared" si="13"/>
        <v>3074120</v>
      </c>
      <c r="AG19" s="273">
        <f t="shared" si="14"/>
        <v>2708250</v>
      </c>
      <c r="AH19" s="549">
        <f>O19+AF19+AG19</f>
        <v>38281470</v>
      </c>
      <c r="AI19" s="549"/>
      <c r="AJ19" s="385">
        <f t="shared" si="15"/>
        <v>2732880</v>
      </c>
      <c r="AK19" s="284">
        <f>X19/$AK$4</f>
        <v>986340</v>
      </c>
      <c r="AL19" s="285">
        <f>Y19/$AK$4</f>
        <v>64600</v>
      </c>
      <c r="AM19" s="285">
        <v>98770</v>
      </c>
      <c r="AN19" s="285">
        <f>Z19/$AK$4</f>
        <v>1503200</v>
      </c>
      <c r="AO19" s="285">
        <f>AC19/$AK$4</f>
        <v>292490</v>
      </c>
      <c r="AP19" s="285">
        <f>AE19/$AK$4</f>
        <v>227490</v>
      </c>
      <c r="AQ19" s="245" t="s">
        <v>233</v>
      </c>
      <c r="AR19" s="286">
        <f>29854660/12</f>
        <v>2487888.3333333335</v>
      </c>
    </row>
    <row r="20" spans="1:44" s="242" customFormat="1" ht="30" customHeight="1" thickBot="1">
      <c r="A20" s="539"/>
      <c r="B20" s="278" t="s">
        <v>228</v>
      </c>
      <c r="C20" s="548" t="s">
        <v>233</v>
      </c>
      <c r="D20" s="548"/>
      <c r="E20" s="264">
        <v>9</v>
      </c>
      <c r="F20" s="264">
        <v>7</v>
      </c>
      <c r="G20" s="265">
        <v>1940000</v>
      </c>
      <c r="H20" s="265">
        <v>4</v>
      </c>
      <c r="I20" s="240">
        <f t="shared" si="0"/>
        <v>7760000</v>
      </c>
      <c r="J20" s="266">
        <f t="shared" si="7"/>
        <v>1164000</v>
      </c>
      <c r="K20" s="279"/>
      <c r="L20" s="266">
        <f t="shared" si="18"/>
        <v>2227750</v>
      </c>
      <c r="M20" s="279">
        <f>60000*H20</f>
        <v>240000</v>
      </c>
      <c r="N20" s="273"/>
      <c r="O20" s="268"/>
      <c r="P20" s="268"/>
      <c r="Q20" s="268">
        <f t="shared" si="19"/>
        <v>0</v>
      </c>
      <c r="R20" s="268"/>
      <c r="S20" s="268"/>
      <c r="T20" s="269"/>
      <c r="U20" s="269">
        <f t="shared" si="8"/>
        <v>0</v>
      </c>
      <c r="V20" s="269">
        <f t="shared" si="3"/>
        <v>0</v>
      </c>
      <c r="W20" s="269">
        <f t="shared" si="9"/>
        <v>0</v>
      </c>
      <c r="X20" s="266">
        <f t="shared" si="4"/>
        <v>0</v>
      </c>
      <c r="Y20" s="266">
        <f t="shared" si="10"/>
        <v>0</v>
      </c>
      <c r="Z20" s="266">
        <f t="shared" si="11"/>
        <v>0</v>
      </c>
      <c r="AA20" s="270">
        <f t="shared" si="11"/>
        <v>0</v>
      </c>
      <c r="AB20" s="269"/>
      <c r="AC20" s="272">
        <f t="shared" si="5"/>
        <v>0</v>
      </c>
      <c r="AD20" s="269">
        <f t="shared" si="12"/>
        <v>0</v>
      </c>
      <c r="AE20" s="266">
        <f t="shared" si="6"/>
        <v>0</v>
      </c>
      <c r="AF20" s="273">
        <f t="shared" si="13"/>
        <v>0</v>
      </c>
      <c r="AG20" s="273">
        <f t="shared" si="14"/>
        <v>0</v>
      </c>
      <c r="AH20" s="276"/>
      <c r="AI20" s="276"/>
      <c r="AJ20" s="385">
        <f t="shared" si="15"/>
        <v>0</v>
      </c>
      <c r="AK20" s="281"/>
      <c r="AL20" s="282"/>
      <c r="AM20" s="282"/>
      <c r="AN20" s="282"/>
      <c r="AO20" s="282"/>
      <c r="AP20" s="282"/>
      <c r="AQ20" s="246"/>
      <c r="AR20" s="283"/>
    </row>
    <row r="21" spans="1:44" s="287" customFormat="1" ht="30" customHeight="1" thickTop="1">
      <c r="A21" s="539">
        <v>9</v>
      </c>
      <c r="B21" s="278" t="s">
        <v>228</v>
      </c>
      <c r="C21" s="548" t="s">
        <v>234</v>
      </c>
      <c r="D21" s="548"/>
      <c r="E21" s="264">
        <v>1</v>
      </c>
      <c r="F21" s="264">
        <v>3</v>
      </c>
      <c r="G21" s="265">
        <v>1681000</v>
      </c>
      <c r="H21" s="265">
        <v>3</v>
      </c>
      <c r="I21" s="240">
        <f t="shared" si="0"/>
        <v>5043000</v>
      </c>
      <c r="J21" s="266">
        <f t="shared" si="7"/>
        <v>1008600</v>
      </c>
      <c r="K21" s="279"/>
      <c r="L21" s="266">
        <f t="shared" si="18"/>
        <v>1447750</v>
      </c>
      <c r="M21" s="279"/>
      <c r="N21" s="267">
        <f>SUM((J21:M21),(J22:M22))</f>
        <v>7976940</v>
      </c>
      <c r="O21" s="268">
        <f>I21+N21+I22</f>
        <v>28625940</v>
      </c>
      <c r="P21" s="268">
        <f t="shared" si="16"/>
        <v>5927940</v>
      </c>
      <c r="Q21" s="268">
        <f t="shared" si="19"/>
        <v>12349.875</v>
      </c>
      <c r="R21" s="268">
        <v>29903040</v>
      </c>
      <c r="S21" s="268">
        <v>12</v>
      </c>
      <c r="T21" s="269">
        <f t="shared" si="17"/>
        <v>2491920</v>
      </c>
      <c r="U21" s="269">
        <f t="shared" si="8"/>
        <v>29903040</v>
      </c>
      <c r="V21" s="269">
        <f t="shared" si="3"/>
        <v>1345630</v>
      </c>
      <c r="W21" s="269">
        <f t="shared" si="9"/>
        <v>2385495</v>
      </c>
      <c r="X21" s="266">
        <f t="shared" si="4"/>
        <v>868790</v>
      </c>
      <c r="Y21" s="266">
        <f t="shared" si="10"/>
        <v>56900</v>
      </c>
      <c r="Z21" s="266">
        <f t="shared" si="11"/>
        <v>1345630</v>
      </c>
      <c r="AA21" s="270">
        <f t="shared" si="11"/>
        <v>2385495</v>
      </c>
      <c r="AB21" s="271">
        <f>INT((AA21*$AB$3)*(H21+H22)/10)*10</f>
        <v>157440</v>
      </c>
      <c r="AC21" s="272">
        <f t="shared" si="5"/>
        <v>257630</v>
      </c>
      <c r="AD21" s="269">
        <f t="shared" si="12"/>
        <v>2385495</v>
      </c>
      <c r="AE21" s="266">
        <f t="shared" si="6"/>
        <v>200380</v>
      </c>
      <c r="AF21" s="273">
        <f t="shared" si="13"/>
        <v>2729330</v>
      </c>
      <c r="AG21" s="273">
        <f t="shared" si="14"/>
        <v>2385490</v>
      </c>
      <c r="AH21" s="549">
        <f>O21+AF21+AG21</f>
        <v>33740760</v>
      </c>
      <c r="AI21" s="549"/>
      <c r="AJ21" s="385">
        <f t="shared" si="15"/>
        <v>2428760</v>
      </c>
      <c r="AK21" s="284">
        <f>X21/$AK$4</f>
        <v>868790</v>
      </c>
      <c r="AL21" s="285">
        <f>Y21/$AK$4</f>
        <v>56900</v>
      </c>
      <c r="AM21" s="285">
        <v>101250</v>
      </c>
      <c r="AN21" s="285">
        <f>Z21/$AK$4</f>
        <v>1345630</v>
      </c>
      <c r="AO21" s="285">
        <f>AC21/$AK$4</f>
        <v>257630</v>
      </c>
      <c r="AP21" s="285">
        <f>AE21/$AK$4</f>
        <v>200380</v>
      </c>
      <c r="AQ21" s="245" t="s">
        <v>234</v>
      </c>
      <c r="AR21" s="286">
        <f>21983400/10</f>
        <v>2198340</v>
      </c>
    </row>
    <row r="22" spans="1:44" s="242" customFormat="1" ht="30" customHeight="1" thickBot="1">
      <c r="A22" s="539"/>
      <c r="B22" s="278" t="s">
        <v>228</v>
      </c>
      <c r="C22" s="548" t="s">
        <v>234</v>
      </c>
      <c r="D22" s="548"/>
      <c r="E22" s="264">
        <v>4</v>
      </c>
      <c r="F22" s="264">
        <v>4</v>
      </c>
      <c r="G22" s="265">
        <v>1734000</v>
      </c>
      <c r="H22" s="265">
        <v>9</v>
      </c>
      <c r="I22" s="240">
        <f t="shared" si="0"/>
        <v>15606000</v>
      </c>
      <c r="J22" s="266">
        <f t="shared" si="7"/>
        <v>1040400</v>
      </c>
      <c r="K22" s="279"/>
      <c r="L22" s="266">
        <f t="shared" si="18"/>
        <v>4480190</v>
      </c>
      <c r="M22" s="279"/>
      <c r="N22" s="273"/>
      <c r="O22" s="268"/>
      <c r="P22" s="268"/>
      <c r="Q22" s="268">
        <f t="shared" si="19"/>
        <v>0</v>
      </c>
      <c r="R22" s="268"/>
      <c r="S22" s="268"/>
      <c r="T22" s="269"/>
      <c r="U22" s="269">
        <f t="shared" si="8"/>
        <v>0</v>
      </c>
      <c r="V22" s="269">
        <f t="shared" si="3"/>
        <v>0</v>
      </c>
      <c r="W22" s="269">
        <f t="shared" si="9"/>
        <v>0</v>
      </c>
      <c r="X22" s="266">
        <f t="shared" si="4"/>
        <v>0</v>
      </c>
      <c r="Y22" s="266">
        <f t="shared" si="10"/>
        <v>0</v>
      </c>
      <c r="Z22" s="266">
        <f t="shared" si="11"/>
        <v>0</v>
      </c>
      <c r="AA22" s="270">
        <f t="shared" si="11"/>
        <v>0</v>
      </c>
      <c r="AB22" s="269"/>
      <c r="AC22" s="272">
        <f t="shared" si="5"/>
        <v>0</v>
      </c>
      <c r="AD22" s="269">
        <f t="shared" si="12"/>
        <v>0</v>
      </c>
      <c r="AE22" s="266">
        <f t="shared" si="6"/>
        <v>0</v>
      </c>
      <c r="AF22" s="273">
        <f t="shared" si="13"/>
        <v>0</v>
      </c>
      <c r="AG22" s="273">
        <f t="shared" si="14"/>
        <v>0</v>
      </c>
      <c r="AH22" s="276"/>
      <c r="AI22" s="276"/>
      <c r="AJ22" s="385">
        <f t="shared" si="15"/>
        <v>0</v>
      </c>
      <c r="AK22" s="281"/>
      <c r="AL22" s="282"/>
      <c r="AM22" s="282"/>
      <c r="AN22" s="282"/>
      <c r="AO22" s="282"/>
      <c r="AP22" s="282"/>
      <c r="AQ22" s="246"/>
      <c r="AR22" s="283"/>
    </row>
    <row r="23" spans="1:44" s="287" customFormat="1" ht="30" customHeight="1" thickTop="1">
      <c r="A23" s="539">
        <v>10</v>
      </c>
      <c r="B23" s="278" t="s">
        <v>228</v>
      </c>
      <c r="C23" s="548" t="s">
        <v>235</v>
      </c>
      <c r="D23" s="548"/>
      <c r="E23" s="264">
        <v>1</v>
      </c>
      <c r="F23" s="264">
        <v>7</v>
      </c>
      <c r="G23" s="265">
        <v>1940000</v>
      </c>
      <c r="H23" s="265">
        <v>8</v>
      </c>
      <c r="I23" s="240">
        <f t="shared" si="0"/>
        <v>15520000</v>
      </c>
      <c r="J23" s="266">
        <f t="shared" si="7"/>
        <v>1164000</v>
      </c>
      <c r="K23" s="279"/>
      <c r="L23" s="266">
        <f t="shared" si="18"/>
        <v>4455500</v>
      </c>
      <c r="M23" s="279">
        <f>40000*H23</f>
        <v>320000</v>
      </c>
      <c r="N23" s="267">
        <f>SUM((J23:M23),(J24:M24))</f>
        <v>9603140</v>
      </c>
      <c r="O23" s="268">
        <f>I23+N23+I24</f>
        <v>33139140</v>
      </c>
      <c r="P23" s="268">
        <f t="shared" si="16"/>
        <v>6756740</v>
      </c>
      <c r="Q23" s="268">
        <f t="shared" si="19"/>
        <v>14076.541666666666</v>
      </c>
      <c r="R23" s="268">
        <v>34724840</v>
      </c>
      <c r="S23" s="268">
        <v>12</v>
      </c>
      <c r="T23" s="269">
        <f t="shared" si="17"/>
        <v>2893730</v>
      </c>
      <c r="U23" s="269">
        <f t="shared" si="8"/>
        <v>34724760</v>
      </c>
      <c r="V23" s="269">
        <f t="shared" si="3"/>
        <v>1562610</v>
      </c>
      <c r="W23" s="269">
        <f t="shared" si="9"/>
        <v>2761595</v>
      </c>
      <c r="X23" s="266">
        <f t="shared" si="4"/>
        <v>1005770</v>
      </c>
      <c r="Y23" s="266">
        <f t="shared" si="10"/>
        <v>65870</v>
      </c>
      <c r="Z23" s="266">
        <f t="shared" si="11"/>
        <v>1562610</v>
      </c>
      <c r="AA23" s="270">
        <f t="shared" si="11"/>
        <v>2761595</v>
      </c>
      <c r="AB23" s="271">
        <f>INT((AA23*$AB$3)*(H23+H24)/10)*10</f>
        <v>182260</v>
      </c>
      <c r="AC23" s="272">
        <f t="shared" si="5"/>
        <v>298250</v>
      </c>
      <c r="AD23" s="269">
        <f t="shared" si="12"/>
        <v>2761595</v>
      </c>
      <c r="AE23" s="266">
        <f t="shared" si="6"/>
        <v>231970</v>
      </c>
      <c r="AF23" s="273">
        <f t="shared" si="13"/>
        <v>3164470</v>
      </c>
      <c r="AG23" s="273">
        <f t="shared" si="14"/>
        <v>2761590</v>
      </c>
      <c r="AH23" s="549">
        <f>O23+AF23+AG23</f>
        <v>39065200</v>
      </c>
      <c r="AI23" s="549"/>
      <c r="AJ23" s="385">
        <f t="shared" si="15"/>
        <v>2816510</v>
      </c>
      <c r="AK23" s="284">
        <f>X23/$AK$4</f>
        <v>1005770</v>
      </c>
      <c r="AL23" s="285">
        <f>Y23/$AK$4</f>
        <v>65870</v>
      </c>
      <c r="AM23" s="285">
        <v>114750</v>
      </c>
      <c r="AN23" s="285">
        <f>Z23/$AK$4</f>
        <v>1562610</v>
      </c>
      <c r="AO23" s="285">
        <f>AC23/$AK$4</f>
        <v>298250</v>
      </c>
      <c r="AP23" s="285">
        <f>AE23/$AK$4</f>
        <v>231970</v>
      </c>
      <c r="AQ23" s="245" t="s">
        <v>235</v>
      </c>
      <c r="AR23" s="286">
        <f>22453760/9</f>
        <v>2494862.222222222</v>
      </c>
    </row>
    <row r="24" spans="1:44" s="242" customFormat="1" ht="30" customHeight="1" thickBot="1">
      <c r="A24" s="539"/>
      <c r="B24" s="278" t="s">
        <v>228</v>
      </c>
      <c r="C24" s="548" t="s">
        <v>235</v>
      </c>
      <c r="D24" s="548"/>
      <c r="E24" s="264">
        <v>9</v>
      </c>
      <c r="F24" s="264">
        <v>8</v>
      </c>
      <c r="G24" s="265">
        <v>2004000</v>
      </c>
      <c r="H24" s="265">
        <v>4</v>
      </c>
      <c r="I24" s="240">
        <f t="shared" si="0"/>
        <v>8016000</v>
      </c>
      <c r="J24" s="266">
        <f t="shared" si="7"/>
        <v>1202400</v>
      </c>
      <c r="K24" s="279"/>
      <c r="L24" s="266">
        <f t="shared" si="18"/>
        <v>2301240</v>
      </c>
      <c r="M24" s="279">
        <f>40000*H24</f>
        <v>160000</v>
      </c>
      <c r="N24" s="273"/>
      <c r="O24" s="268"/>
      <c r="P24" s="268"/>
      <c r="Q24" s="268">
        <f t="shared" si="19"/>
        <v>0</v>
      </c>
      <c r="R24" s="268"/>
      <c r="S24" s="268"/>
      <c r="T24" s="269"/>
      <c r="U24" s="269">
        <f t="shared" si="8"/>
        <v>0</v>
      </c>
      <c r="V24" s="269">
        <f t="shared" si="3"/>
        <v>0</v>
      </c>
      <c r="W24" s="269">
        <f t="shared" si="9"/>
        <v>0</v>
      </c>
      <c r="X24" s="266">
        <f t="shared" si="4"/>
        <v>0</v>
      </c>
      <c r="Y24" s="266">
        <f t="shared" si="10"/>
        <v>0</v>
      </c>
      <c r="Z24" s="266">
        <f t="shared" si="11"/>
        <v>0</v>
      </c>
      <c r="AA24" s="270">
        <f t="shared" si="11"/>
        <v>0</v>
      </c>
      <c r="AB24" s="269"/>
      <c r="AC24" s="272">
        <f t="shared" si="5"/>
        <v>0</v>
      </c>
      <c r="AD24" s="269">
        <f t="shared" si="12"/>
        <v>0</v>
      </c>
      <c r="AE24" s="266">
        <f t="shared" si="6"/>
        <v>0</v>
      </c>
      <c r="AF24" s="273">
        <f t="shared" si="13"/>
        <v>0</v>
      </c>
      <c r="AG24" s="273">
        <f t="shared" si="14"/>
        <v>0</v>
      </c>
      <c r="AH24" s="276"/>
      <c r="AI24" s="276"/>
      <c r="AJ24" s="385">
        <f t="shared" si="15"/>
        <v>0</v>
      </c>
      <c r="AK24" s="281"/>
      <c r="AL24" s="282"/>
      <c r="AM24" s="282"/>
      <c r="AN24" s="282"/>
      <c r="AO24" s="282"/>
      <c r="AP24" s="282"/>
      <c r="AQ24" s="246"/>
      <c r="AR24" s="283"/>
    </row>
    <row r="25" spans="1:44" s="287" customFormat="1" ht="30" customHeight="1" thickTop="1">
      <c r="A25" s="539">
        <v>11</v>
      </c>
      <c r="B25" s="278" t="s">
        <v>228</v>
      </c>
      <c r="C25" s="548" t="s">
        <v>236</v>
      </c>
      <c r="D25" s="548"/>
      <c r="E25" s="264">
        <v>1</v>
      </c>
      <c r="F25" s="264">
        <v>8</v>
      </c>
      <c r="G25" s="265">
        <v>2004000</v>
      </c>
      <c r="H25" s="265">
        <v>3</v>
      </c>
      <c r="I25" s="240">
        <f t="shared" si="0"/>
        <v>6012000</v>
      </c>
      <c r="J25" s="266">
        <f t="shared" si="7"/>
        <v>1202400</v>
      </c>
      <c r="K25" s="279"/>
      <c r="L25" s="266">
        <f t="shared" si="18"/>
        <v>1725930</v>
      </c>
      <c r="M25" s="279"/>
      <c r="N25" s="267">
        <f>SUM((J25:M25),(J26:M26))</f>
        <v>9365830</v>
      </c>
      <c r="O25" s="268">
        <f>I25+N25+I26</f>
        <v>33575830</v>
      </c>
      <c r="P25" s="268">
        <f t="shared" si="16"/>
        <v>6950230</v>
      </c>
      <c r="Q25" s="268">
        <f t="shared" si="19"/>
        <v>14479.645833333334</v>
      </c>
      <c r="R25" s="268">
        <v>35639230</v>
      </c>
      <c r="S25" s="268">
        <v>12</v>
      </c>
      <c r="T25" s="269">
        <f t="shared" si="17"/>
        <v>2969930</v>
      </c>
      <c r="U25" s="269">
        <f t="shared" si="8"/>
        <v>35639160</v>
      </c>
      <c r="V25" s="269">
        <f t="shared" si="3"/>
        <v>1603760</v>
      </c>
      <c r="W25" s="269">
        <f t="shared" si="9"/>
        <v>2797985.8333333335</v>
      </c>
      <c r="X25" s="266">
        <f t="shared" si="4"/>
        <v>1019020</v>
      </c>
      <c r="Y25" s="266">
        <f t="shared" si="10"/>
        <v>66740</v>
      </c>
      <c r="Z25" s="266">
        <f t="shared" si="11"/>
        <v>1603760</v>
      </c>
      <c r="AA25" s="270">
        <f t="shared" si="11"/>
        <v>2797985.8333333335</v>
      </c>
      <c r="AB25" s="271">
        <f>INT((AA25*$AB$3)*(H25+H26)/10)*10</f>
        <v>184660</v>
      </c>
      <c r="AC25" s="272">
        <f t="shared" si="5"/>
        <v>302180</v>
      </c>
      <c r="AD25" s="269">
        <f t="shared" si="12"/>
        <v>2797985.8333333335</v>
      </c>
      <c r="AE25" s="266">
        <f t="shared" si="6"/>
        <v>235030</v>
      </c>
      <c r="AF25" s="273">
        <f t="shared" si="13"/>
        <v>3226730</v>
      </c>
      <c r="AG25" s="273">
        <f t="shared" si="14"/>
        <v>2797980</v>
      </c>
      <c r="AH25" s="549">
        <f>O25+AF25+AG25</f>
        <v>39600540</v>
      </c>
      <c r="AI25" s="549"/>
      <c r="AJ25" s="385">
        <f t="shared" si="15"/>
        <v>2874180</v>
      </c>
      <c r="AK25" s="284">
        <f>X25/$AK$4</f>
        <v>1019020</v>
      </c>
      <c r="AL25" s="285">
        <f>Y25/$AK$4</f>
        <v>66740</v>
      </c>
      <c r="AM25" s="285">
        <v>114750</v>
      </c>
      <c r="AN25" s="285">
        <f>Z25/$AK$4</f>
        <v>1603760</v>
      </c>
      <c r="AO25" s="285">
        <f>AC25/$AK$4</f>
        <v>302180</v>
      </c>
      <c r="AP25" s="285">
        <f>AE25/$AK$4</f>
        <v>235030</v>
      </c>
      <c r="AQ25" s="245" t="s">
        <v>236</v>
      </c>
      <c r="AR25" s="286">
        <f>27976100/11</f>
        <v>2543281.8181818184</v>
      </c>
    </row>
    <row r="26" spans="1:44" s="242" customFormat="1" ht="30" customHeight="1" thickBot="1">
      <c r="A26" s="539"/>
      <c r="B26" s="278" t="s">
        <v>228</v>
      </c>
      <c r="C26" s="548" t="s">
        <v>236</v>
      </c>
      <c r="D26" s="548"/>
      <c r="E26" s="264">
        <v>4</v>
      </c>
      <c r="F26" s="264">
        <v>9</v>
      </c>
      <c r="G26" s="265">
        <v>2022000</v>
      </c>
      <c r="H26" s="265">
        <v>9</v>
      </c>
      <c r="I26" s="240">
        <f t="shared" si="0"/>
        <v>18198000</v>
      </c>
      <c r="J26" s="266">
        <f t="shared" si="7"/>
        <v>1213200</v>
      </c>
      <c r="K26" s="279"/>
      <c r="L26" s="266">
        <f t="shared" si="18"/>
        <v>5224300</v>
      </c>
      <c r="M26" s="279"/>
      <c r="N26" s="273"/>
      <c r="O26" s="268"/>
      <c r="P26" s="268"/>
      <c r="Q26" s="268">
        <f t="shared" si="19"/>
        <v>0</v>
      </c>
      <c r="R26" s="268"/>
      <c r="S26" s="268"/>
      <c r="T26" s="269"/>
      <c r="U26" s="269">
        <f t="shared" si="8"/>
        <v>0</v>
      </c>
      <c r="V26" s="269">
        <f t="shared" si="3"/>
        <v>0</v>
      </c>
      <c r="W26" s="269">
        <f t="shared" si="9"/>
        <v>0</v>
      </c>
      <c r="X26" s="266">
        <f t="shared" si="4"/>
        <v>0</v>
      </c>
      <c r="Y26" s="266">
        <f t="shared" si="10"/>
        <v>0</v>
      </c>
      <c r="Z26" s="266">
        <f t="shared" si="11"/>
        <v>0</v>
      </c>
      <c r="AA26" s="270">
        <f t="shared" si="11"/>
        <v>0</v>
      </c>
      <c r="AB26" s="269"/>
      <c r="AC26" s="272">
        <f t="shared" si="5"/>
        <v>0</v>
      </c>
      <c r="AD26" s="269">
        <f t="shared" si="12"/>
        <v>0</v>
      </c>
      <c r="AE26" s="266">
        <f t="shared" si="6"/>
        <v>0</v>
      </c>
      <c r="AF26" s="273">
        <f t="shared" si="13"/>
        <v>0</v>
      </c>
      <c r="AG26" s="273">
        <f t="shared" si="14"/>
        <v>0</v>
      </c>
      <c r="AH26" s="276"/>
      <c r="AI26" s="276"/>
      <c r="AJ26" s="385">
        <f t="shared" si="15"/>
        <v>0</v>
      </c>
      <c r="AK26" s="281"/>
      <c r="AL26" s="282"/>
      <c r="AM26" s="282"/>
      <c r="AN26" s="282"/>
      <c r="AO26" s="282"/>
      <c r="AP26" s="282"/>
      <c r="AQ26" s="246"/>
      <c r="AR26" s="283"/>
    </row>
    <row r="27" spans="1:44" s="287" customFormat="1" ht="30" customHeight="1" thickTop="1">
      <c r="A27" s="539">
        <v>12</v>
      </c>
      <c r="B27" s="278" t="s">
        <v>228</v>
      </c>
      <c r="C27" s="548" t="s">
        <v>237</v>
      </c>
      <c r="D27" s="548"/>
      <c r="E27" s="264">
        <v>1</v>
      </c>
      <c r="F27" s="264">
        <v>8</v>
      </c>
      <c r="G27" s="265">
        <v>2004000</v>
      </c>
      <c r="H27" s="265">
        <v>11</v>
      </c>
      <c r="I27" s="240">
        <f t="shared" si="0"/>
        <v>22044000</v>
      </c>
      <c r="J27" s="266">
        <f>G27*1.26</f>
        <v>2525040</v>
      </c>
      <c r="K27" s="279"/>
      <c r="L27" s="266">
        <f t="shared" si="18"/>
        <v>6328420</v>
      </c>
      <c r="M27" s="279"/>
      <c r="N27" s="267">
        <f>SUM((J27:M27),(J28:M28))</f>
        <v>9433930</v>
      </c>
      <c r="O27" s="268">
        <f>I27+N27+I28</f>
        <v>33499930</v>
      </c>
      <c r="P27" s="268">
        <f t="shared" si="16"/>
        <v>6908890</v>
      </c>
      <c r="Q27" s="268">
        <f t="shared" si="19"/>
        <v>14393.520833333334</v>
      </c>
      <c r="R27" s="268">
        <v>34925130</v>
      </c>
      <c r="S27" s="268">
        <v>12</v>
      </c>
      <c r="T27" s="269">
        <f t="shared" si="17"/>
        <v>2910420</v>
      </c>
      <c r="U27" s="269">
        <f t="shared" si="8"/>
        <v>34925040</v>
      </c>
      <c r="V27" s="269">
        <f t="shared" si="3"/>
        <v>1571620</v>
      </c>
      <c r="W27" s="269">
        <f t="shared" si="9"/>
        <v>2791660.8333333335</v>
      </c>
      <c r="X27" s="266">
        <f t="shared" si="4"/>
        <v>1016720</v>
      </c>
      <c r="Y27" s="266">
        <f t="shared" si="10"/>
        <v>66590</v>
      </c>
      <c r="Z27" s="266">
        <f t="shared" si="11"/>
        <v>1571620</v>
      </c>
      <c r="AA27" s="270">
        <f t="shared" si="11"/>
        <v>2791660.8333333335</v>
      </c>
      <c r="AB27" s="271">
        <f>INT((AA27*$AB$3)*(H27+H28)/10)*10</f>
        <v>184240</v>
      </c>
      <c r="AC27" s="272">
        <f t="shared" si="5"/>
        <v>301490</v>
      </c>
      <c r="AD27" s="269">
        <f t="shared" si="12"/>
        <v>2791660.8333333335</v>
      </c>
      <c r="AE27" s="266">
        <f t="shared" si="6"/>
        <v>234490</v>
      </c>
      <c r="AF27" s="273">
        <f t="shared" si="13"/>
        <v>3190910</v>
      </c>
      <c r="AG27" s="273">
        <f t="shared" si="14"/>
        <v>2791660</v>
      </c>
      <c r="AH27" s="549">
        <f>O27+AF27+AG27</f>
        <v>39482500</v>
      </c>
      <c r="AI27" s="549"/>
      <c r="AJ27" s="385">
        <f t="shared" si="15"/>
        <v>2839170</v>
      </c>
      <c r="AK27" s="284">
        <f>X27/$AK$4</f>
        <v>1016720</v>
      </c>
      <c r="AL27" s="285">
        <f>Y27/$AK$4</f>
        <v>66590</v>
      </c>
      <c r="AM27" s="285">
        <v>114750</v>
      </c>
      <c r="AN27" s="285">
        <f>Z27/$AK$4</f>
        <v>1571620</v>
      </c>
      <c r="AO27" s="285">
        <f>AC27/$AK$4</f>
        <v>301490</v>
      </c>
      <c r="AP27" s="285">
        <f>AE27/$AK$4</f>
        <v>234490</v>
      </c>
      <c r="AQ27" s="245"/>
      <c r="AR27" s="286">
        <f>13200480/5</f>
        <v>2640096</v>
      </c>
    </row>
    <row r="28" spans="1:44" s="242" customFormat="1" ht="30" customHeight="1" thickBot="1">
      <c r="A28" s="539"/>
      <c r="B28" s="278" t="s">
        <v>228</v>
      </c>
      <c r="C28" s="548" t="s">
        <v>237</v>
      </c>
      <c r="D28" s="548"/>
      <c r="E28" s="264">
        <v>12</v>
      </c>
      <c r="F28" s="264">
        <v>9</v>
      </c>
      <c r="G28" s="265">
        <v>2022000</v>
      </c>
      <c r="H28" s="265">
        <v>1</v>
      </c>
      <c r="I28" s="240">
        <f t="shared" si="0"/>
        <v>2022000</v>
      </c>
      <c r="J28" s="266"/>
      <c r="K28" s="279"/>
      <c r="L28" s="266">
        <f t="shared" si="18"/>
        <v>580470</v>
      </c>
      <c r="M28" s="279"/>
      <c r="N28" s="273"/>
      <c r="O28" s="268"/>
      <c r="P28" s="268"/>
      <c r="Q28" s="268">
        <f t="shared" si="19"/>
        <v>0</v>
      </c>
      <c r="R28" s="268"/>
      <c r="S28" s="268"/>
      <c r="T28" s="269"/>
      <c r="U28" s="269">
        <f t="shared" si="8"/>
        <v>0</v>
      </c>
      <c r="V28" s="269">
        <f t="shared" si="3"/>
        <v>0</v>
      </c>
      <c r="W28" s="269">
        <f t="shared" si="9"/>
        <v>0</v>
      </c>
      <c r="X28" s="266">
        <f t="shared" si="4"/>
        <v>0</v>
      </c>
      <c r="Y28" s="266">
        <f t="shared" si="10"/>
        <v>0</v>
      </c>
      <c r="Z28" s="266">
        <f t="shared" si="11"/>
        <v>0</v>
      </c>
      <c r="AA28" s="270">
        <f t="shared" si="11"/>
        <v>0</v>
      </c>
      <c r="AB28" s="269"/>
      <c r="AC28" s="272">
        <f t="shared" si="5"/>
        <v>0</v>
      </c>
      <c r="AD28" s="269">
        <f t="shared" si="12"/>
        <v>0</v>
      </c>
      <c r="AE28" s="266">
        <f t="shared" si="6"/>
        <v>0</v>
      </c>
      <c r="AF28" s="273">
        <f t="shared" si="13"/>
        <v>0</v>
      </c>
      <c r="AG28" s="273">
        <f t="shared" si="14"/>
        <v>0</v>
      </c>
      <c r="AH28" s="276"/>
      <c r="AI28" s="276"/>
      <c r="AJ28" s="385">
        <f t="shared" si="15"/>
        <v>0</v>
      </c>
      <c r="AK28" s="281"/>
      <c r="AL28" s="282"/>
      <c r="AM28" s="282"/>
      <c r="AN28" s="282"/>
      <c r="AO28" s="282"/>
      <c r="AP28" s="282"/>
      <c r="AQ28" s="246"/>
      <c r="AR28" s="283"/>
    </row>
    <row r="29" spans="1:44" s="287" customFormat="1" ht="30" customHeight="1" thickTop="1">
      <c r="A29" s="539">
        <v>13</v>
      </c>
      <c r="B29" s="278" t="s">
        <v>228</v>
      </c>
      <c r="C29" s="548" t="s">
        <v>238</v>
      </c>
      <c r="D29" s="548"/>
      <c r="E29" s="264">
        <v>1</v>
      </c>
      <c r="F29" s="264">
        <v>8</v>
      </c>
      <c r="G29" s="265">
        <v>2004000</v>
      </c>
      <c r="H29" s="265">
        <v>6</v>
      </c>
      <c r="I29" s="240">
        <f t="shared" si="0"/>
        <v>12024000</v>
      </c>
      <c r="J29" s="266">
        <f t="shared" si="7"/>
        <v>1202400</v>
      </c>
      <c r="K29" s="279"/>
      <c r="L29" s="266">
        <f t="shared" si="18"/>
        <v>3451860</v>
      </c>
      <c r="M29" s="279"/>
      <c r="N29" s="267">
        <f>SUM((J29:M29),(J30:M30))</f>
        <v>9350330</v>
      </c>
      <c r="O29" s="268">
        <f>I29+N29+I30</f>
        <v>33506330</v>
      </c>
      <c r="P29" s="268">
        <f t="shared" si="16"/>
        <v>6934730</v>
      </c>
      <c r="Q29" s="268">
        <f t="shared" si="19"/>
        <v>14447.354166666666</v>
      </c>
      <c r="R29" s="268">
        <v>35371440</v>
      </c>
      <c r="S29" s="268">
        <v>12</v>
      </c>
      <c r="T29" s="269">
        <f t="shared" si="17"/>
        <v>2947620</v>
      </c>
      <c r="U29" s="269">
        <f>T29*9</f>
        <v>26528580</v>
      </c>
      <c r="V29" s="269">
        <f t="shared" si="3"/>
        <v>1591710</v>
      </c>
      <c r="W29" s="269">
        <f t="shared" si="9"/>
        <v>2792194.1666666665</v>
      </c>
      <c r="X29" s="266">
        <f t="shared" si="4"/>
        <v>1016910</v>
      </c>
      <c r="Y29" s="266">
        <f t="shared" si="10"/>
        <v>66600</v>
      </c>
      <c r="Z29" s="266">
        <f t="shared" si="11"/>
        <v>1591710</v>
      </c>
      <c r="AA29" s="270">
        <f t="shared" si="11"/>
        <v>2792194.1666666665</v>
      </c>
      <c r="AB29" s="271">
        <f>INT((AA29*$AB$3)*(H29+H30)/10)*10</f>
        <v>184280</v>
      </c>
      <c r="AC29" s="272">
        <f t="shared" si="5"/>
        <v>301550</v>
      </c>
      <c r="AD29" s="269">
        <f t="shared" si="12"/>
        <v>2792194.1666666665</v>
      </c>
      <c r="AE29" s="266">
        <f t="shared" si="6"/>
        <v>234540</v>
      </c>
      <c r="AF29" s="273">
        <f t="shared" si="13"/>
        <v>3211310</v>
      </c>
      <c r="AG29" s="273">
        <f t="shared" si="14"/>
        <v>2792190</v>
      </c>
      <c r="AH29" s="549">
        <f>O29+AF29+AG29</f>
        <v>39509830</v>
      </c>
      <c r="AI29" s="549"/>
      <c r="AJ29" s="385">
        <f t="shared" si="15"/>
        <v>2859500</v>
      </c>
      <c r="AK29" s="284">
        <f>X29/$AK$4</f>
        <v>1016910</v>
      </c>
      <c r="AL29" s="285">
        <f>Y29/$AK$4</f>
        <v>66600</v>
      </c>
      <c r="AM29" s="285">
        <v>114750</v>
      </c>
      <c r="AN29" s="285">
        <f>Z29/$AK$4</f>
        <v>1591710</v>
      </c>
      <c r="AO29" s="285">
        <f>AC29/$AK$4</f>
        <v>301550</v>
      </c>
      <c r="AP29" s="285">
        <f>AE29/$AK$4</f>
        <v>234540</v>
      </c>
      <c r="AQ29" s="245"/>
      <c r="AR29" s="288">
        <v>2550000</v>
      </c>
    </row>
    <row r="30" spans="1:44" s="242" customFormat="1" ht="30" customHeight="1" thickBot="1">
      <c r="A30" s="539"/>
      <c r="B30" s="278" t="s">
        <v>228</v>
      </c>
      <c r="C30" s="548" t="s">
        <v>238</v>
      </c>
      <c r="D30" s="548"/>
      <c r="E30" s="264">
        <v>7</v>
      </c>
      <c r="F30" s="264">
        <v>9</v>
      </c>
      <c r="G30" s="265">
        <v>2022000</v>
      </c>
      <c r="H30" s="265">
        <v>6</v>
      </c>
      <c r="I30" s="240">
        <f t="shared" si="0"/>
        <v>12132000</v>
      </c>
      <c r="J30" s="266">
        <f t="shared" si="7"/>
        <v>1213200</v>
      </c>
      <c r="K30" s="279"/>
      <c r="L30" s="266">
        <f t="shared" si="18"/>
        <v>3482870</v>
      </c>
      <c r="M30" s="279"/>
      <c r="N30" s="273"/>
      <c r="O30" s="268"/>
      <c r="P30" s="268"/>
      <c r="Q30" s="268">
        <f t="shared" si="19"/>
        <v>0</v>
      </c>
      <c r="R30" s="268"/>
      <c r="S30" s="268"/>
      <c r="T30" s="269"/>
      <c r="U30" s="269">
        <f t="shared" si="8"/>
        <v>0</v>
      </c>
      <c r="V30" s="269">
        <f>INT((T30*0.045*(H30+H33))/10)*10</f>
        <v>0</v>
      </c>
      <c r="W30" s="269">
        <f t="shared" si="9"/>
        <v>0</v>
      </c>
      <c r="X30" s="266">
        <f>INT(W30*$X$3*(H30+H33)/10)*10</f>
        <v>0</v>
      </c>
      <c r="Y30" s="266">
        <f t="shared" si="10"/>
        <v>0</v>
      </c>
      <c r="Z30" s="266">
        <f t="shared" si="11"/>
        <v>0</v>
      </c>
      <c r="AA30" s="270">
        <f t="shared" si="11"/>
        <v>0</v>
      </c>
      <c r="AB30" s="269"/>
      <c r="AC30" s="272">
        <f>INT((AA30*$AC$3)*(H30+H33)/10)*10</f>
        <v>0</v>
      </c>
      <c r="AD30" s="269">
        <f t="shared" si="12"/>
        <v>0</v>
      </c>
      <c r="AE30" s="266">
        <f>ROUNDDOWN((AD30*$AE$3)*(H30+H33),-1)</f>
        <v>0</v>
      </c>
      <c r="AF30" s="273">
        <f t="shared" si="13"/>
        <v>0</v>
      </c>
      <c r="AG30" s="273">
        <f t="shared" si="14"/>
        <v>0</v>
      </c>
      <c r="AH30" s="276"/>
      <c r="AI30" s="276"/>
      <c r="AJ30" s="385">
        <f t="shared" si="15"/>
        <v>0</v>
      </c>
      <c r="AK30" s="281"/>
      <c r="AL30" s="282"/>
      <c r="AM30" s="282"/>
      <c r="AN30" s="282"/>
      <c r="AO30" s="282"/>
      <c r="AP30" s="282"/>
      <c r="AQ30" s="246"/>
      <c r="AR30" s="289"/>
    </row>
    <row r="31" spans="1:44" s="43" customFormat="1" ht="30" customHeight="1" thickTop="1">
      <c r="A31" s="539">
        <v>14</v>
      </c>
      <c r="B31" s="290" t="s">
        <v>228</v>
      </c>
      <c r="C31" s="554"/>
      <c r="D31" s="554"/>
      <c r="E31" s="291">
        <v>1</v>
      </c>
      <c r="F31" s="291">
        <v>5</v>
      </c>
      <c r="G31" s="292">
        <v>1785000</v>
      </c>
      <c r="H31" s="292">
        <v>6</v>
      </c>
      <c r="I31" s="293">
        <f t="shared" si="0"/>
        <v>10710000</v>
      </c>
      <c r="J31" s="294">
        <f t="shared" si="7"/>
        <v>1071000</v>
      </c>
      <c r="K31" s="294"/>
      <c r="L31" s="294">
        <f t="shared" si="18"/>
        <v>3074640</v>
      </c>
      <c r="M31" s="294"/>
      <c r="N31" s="295">
        <f>SUM((J31:M31),(J32:M32))</f>
        <v>8542100</v>
      </c>
      <c r="O31" s="293">
        <f>I31+N31+I32</f>
        <v>30610100</v>
      </c>
      <c r="P31" s="293">
        <f>L31+L32</f>
        <v>6335300</v>
      </c>
      <c r="Q31" s="293">
        <f t="shared" si="19"/>
        <v>13198.541666666666</v>
      </c>
      <c r="R31" s="293">
        <v>32835210</v>
      </c>
      <c r="S31" s="293">
        <v>12</v>
      </c>
      <c r="T31" s="294">
        <f>ROUNDDOWN((R31/S31),-1)</f>
        <v>2736260</v>
      </c>
      <c r="U31" s="294">
        <f t="shared" si="8"/>
        <v>32835120</v>
      </c>
      <c r="V31" s="294">
        <f aca="true" t="shared" si="20" ref="V31:V43">INT((T31*0.045*(H31+H32))/10)*10</f>
        <v>1477580</v>
      </c>
      <c r="W31" s="294">
        <f t="shared" si="9"/>
        <v>2550841.6666666665</v>
      </c>
      <c r="X31" s="294">
        <f aca="true" t="shared" si="21" ref="X31:X43">INT(W31*$X$3*(H31+H32)/10)*10</f>
        <v>929010</v>
      </c>
      <c r="Y31" s="294">
        <f t="shared" si="10"/>
        <v>60850</v>
      </c>
      <c r="Z31" s="294">
        <f t="shared" si="11"/>
        <v>1477580</v>
      </c>
      <c r="AA31" s="296">
        <f t="shared" si="11"/>
        <v>2550841.6666666665</v>
      </c>
      <c r="AB31" s="297">
        <f>INT((AA31*$AB$3)*(H31+H32)/10)*10</f>
        <v>168350</v>
      </c>
      <c r="AC31" s="297">
        <f aca="true" t="shared" si="22" ref="AC31:AC43">INT((AA31*$AC$3)*(H31+H32)/10)*10</f>
        <v>275490</v>
      </c>
      <c r="AD31" s="294">
        <f t="shared" si="12"/>
        <v>2550841.6666666665</v>
      </c>
      <c r="AE31" s="294">
        <f aca="true" t="shared" si="23" ref="AE31:AE43">ROUNDDOWN((AD31*$AE$3)*(H31+H32),-1)</f>
        <v>214270</v>
      </c>
      <c r="AF31" s="293">
        <f t="shared" si="13"/>
        <v>2957200</v>
      </c>
      <c r="AG31" s="293">
        <f t="shared" si="14"/>
        <v>2550840</v>
      </c>
      <c r="AH31" s="555">
        <f>O31+AF31+AG31</f>
        <v>36118140</v>
      </c>
      <c r="AI31" s="555"/>
      <c r="AJ31" s="385">
        <f t="shared" si="15"/>
        <v>2635790</v>
      </c>
      <c r="AK31" s="298"/>
      <c r="AL31" s="299"/>
      <c r="AM31" s="299"/>
      <c r="AN31" s="299"/>
      <c r="AO31" s="299"/>
      <c r="AP31" s="299"/>
      <c r="AQ31" s="300"/>
      <c r="AR31" s="301"/>
    </row>
    <row r="32" spans="1:44" s="43" customFormat="1" ht="30" customHeight="1" thickBot="1">
      <c r="A32" s="539"/>
      <c r="B32" s="290" t="s">
        <v>228</v>
      </c>
      <c r="C32" s="554"/>
      <c r="D32" s="554"/>
      <c r="E32" s="291">
        <v>7</v>
      </c>
      <c r="F32" s="291">
        <v>6</v>
      </c>
      <c r="G32" s="292">
        <v>1893000</v>
      </c>
      <c r="H32" s="292">
        <v>6</v>
      </c>
      <c r="I32" s="293">
        <f t="shared" si="0"/>
        <v>11358000</v>
      </c>
      <c r="J32" s="294">
        <f t="shared" si="7"/>
        <v>1135800</v>
      </c>
      <c r="K32" s="294"/>
      <c r="L32" s="294">
        <f t="shared" si="18"/>
        <v>3260660</v>
      </c>
      <c r="M32" s="294"/>
      <c r="N32" s="293"/>
      <c r="O32" s="293"/>
      <c r="P32" s="293"/>
      <c r="Q32" s="293">
        <f t="shared" si="19"/>
        <v>0</v>
      </c>
      <c r="R32" s="293"/>
      <c r="S32" s="293"/>
      <c r="T32" s="294"/>
      <c r="U32" s="294">
        <f t="shared" si="8"/>
        <v>0</v>
      </c>
      <c r="V32" s="294">
        <f t="shared" si="20"/>
        <v>0</v>
      </c>
      <c r="W32" s="294">
        <f t="shared" si="9"/>
        <v>0</v>
      </c>
      <c r="X32" s="294">
        <f t="shared" si="21"/>
        <v>0</v>
      </c>
      <c r="Y32" s="294">
        <f t="shared" si="10"/>
        <v>0</v>
      </c>
      <c r="Z32" s="294">
        <f t="shared" si="11"/>
        <v>0</v>
      </c>
      <c r="AA32" s="296">
        <f t="shared" si="11"/>
        <v>0</v>
      </c>
      <c r="AB32" s="294"/>
      <c r="AC32" s="297">
        <f t="shared" si="22"/>
        <v>0</v>
      </c>
      <c r="AD32" s="294">
        <f t="shared" si="12"/>
        <v>0</v>
      </c>
      <c r="AE32" s="294">
        <f t="shared" si="23"/>
        <v>0</v>
      </c>
      <c r="AF32" s="293">
        <f t="shared" si="13"/>
        <v>0</v>
      </c>
      <c r="AG32" s="293">
        <f t="shared" si="14"/>
        <v>0</v>
      </c>
      <c r="AH32" s="302"/>
      <c r="AI32" s="302"/>
      <c r="AJ32" s="385">
        <f t="shared" si="15"/>
        <v>0</v>
      </c>
      <c r="AK32" s="298"/>
      <c r="AL32" s="299"/>
      <c r="AM32" s="299"/>
      <c r="AN32" s="299"/>
      <c r="AO32" s="299"/>
      <c r="AP32" s="299"/>
      <c r="AQ32" s="300"/>
      <c r="AR32" s="301"/>
    </row>
    <row r="33" spans="1:44" s="287" customFormat="1" ht="30" customHeight="1" thickTop="1">
      <c r="A33" s="539">
        <v>15</v>
      </c>
      <c r="B33" s="278" t="s">
        <v>239</v>
      </c>
      <c r="C33" s="548" t="s">
        <v>240</v>
      </c>
      <c r="D33" s="548"/>
      <c r="E33" s="264">
        <v>1</v>
      </c>
      <c r="F33" s="264">
        <v>2</v>
      </c>
      <c r="G33" s="265">
        <v>1439000</v>
      </c>
      <c r="H33" s="265">
        <v>6</v>
      </c>
      <c r="I33" s="240">
        <f t="shared" si="0"/>
        <v>8634000</v>
      </c>
      <c r="J33" s="266">
        <f t="shared" si="7"/>
        <v>863400</v>
      </c>
      <c r="K33" s="279"/>
      <c r="L33" s="266">
        <f>ROUNDDOWN((I33*40/209*1.5),-1)</f>
        <v>2478660</v>
      </c>
      <c r="M33" s="279"/>
      <c r="N33" s="267">
        <f>SUM((J33:M33),(J34:M34))</f>
        <v>6802560</v>
      </c>
      <c r="O33" s="268">
        <f>I33+N33+I34</f>
        <v>24376560</v>
      </c>
      <c r="P33" s="268">
        <f t="shared" si="16"/>
        <v>5045160</v>
      </c>
      <c r="Q33" s="268">
        <f t="shared" si="19"/>
        <v>10510.75</v>
      </c>
      <c r="R33" s="268">
        <v>25353710</v>
      </c>
      <c r="S33" s="268">
        <v>12</v>
      </c>
      <c r="T33" s="269">
        <f t="shared" si="17"/>
        <v>2112800</v>
      </c>
      <c r="U33" s="269">
        <f t="shared" si="8"/>
        <v>25353600</v>
      </c>
      <c r="V33" s="269">
        <f t="shared" si="20"/>
        <v>1140910</v>
      </c>
      <c r="W33" s="269">
        <f t="shared" si="9"/>
        <v>2031380</v>
      </c>
      <c r="X33" s="266">
        <f t="shared" si="21"/>
        <v>739820</v>
      </c>
      <c r="Y33" s="266">
        <f t="shared" si="10"/>
        <v>48450</v>
      </c>
      <c r="Z33" s="266">
        <f t="shared" si="11"/>
        <v>1140910</v>
      </c>
      <c r="AA33" s="270">
        <f t="shared" si="11"/>
        <v>2031380</v>
      </c>
      <c r="AB33" s="271">
        <f>INT((AA33*$AB$3)*(H33+H34)/10)*10</f>
        <v>134070</v>
      </c>
      <c r="AC33" s="272">
        <f t="shared" si="22"/>
        <v>219380</v>
      </c>
      <c r="AD33" s="269">
        <f t="shared" si="12"/>
        <v>2031380</v>
      </c>
      <c r="AE33" s="266">
        <f t="shared" si="23"/>
        <v>170630</v>
      </c>
      <c r="AF33" s="273">
        <f t="shared" si="13"/>
        <v>2319190</v>
      </c>
      <c r="AG33" s="273">
        <f t="shared" si="14"/>
        <v>2031380</v>
      </c>
      <c r="AH33" s="549">
        <f>O33+AF33+AG33</f>
        <v>28727130</v>
      </c>
      <c r="AI33" s="549"/>
      <c r="AJ33" s="385">
        <f t="shared" si="15"/>
        <v>2063250</v>
      </c>
      <c r="AK33" s="284">
        <f>X33/$AK$4</f>
        <v>739820</v>
      </c>
      <c r="AL33" s="285">
        <f>Y33/$AK$4</f>
        <v>48450</v>
      </c>
      <c r="AM33" s="285">
        <v>82980</v>
      </c>
      <c r="AN33" s="285">
        <f>Z33/$AK$4</f>
        <v>1140910</v>
      </c>
      <c r="AO33" s="285">
        <f>AC33/$AK$4</f>
        <v>219380</v>
      </c>
      <c r="AP33" s="285">
        <f>AE33/$AK$4</f>
        <v>170630</v>
      </c>
      <c r="AQ33" s="245" t="s">
        <v>241</v>
      </c>
      <c r="AR33" s="286">
        <f>25665840/12</f>
        <v>2138820</v>
      </c>
    </row>
    <row r="34" spans="1:44" s="242" customFormat="1" ht="30" customHeight="1" thickBot="1">
      <c r="A34" s="539"/>
      <c r="B34" s="278" t="s">
        <v>239</v>
      </c>
      <c r="C34" s="548" t="s">
        <v>240</v>
      </c>
      <c r="D34" s="548"/>
      <c r="E34" s="264">
        <v>7</v>
      </c>
      <c r="F34" s="264">
        <v>3</v>
      </c>
      <c r="G34" s="265">
        <v>1490000</v>
      </c>
      <c r="H34" s="265">
        <v>6</v>
      </c>
      <c r="I34" s="240">
        <f t="shared" si="0"/>
        <v>8940000</v>
      </c>
      <c r="J34" s="266">
        <f t="shared" si="7"/>
        <v>894000</v>
      </c>
      <c r="K34" s="279"/>
      <c r="L34" s="266">
        <f>ROUNDDOWN((I34*40/209*1.5),-1)</f>
        <v>2566500</v>
      </c>
      <c r="M34" s="279"/>
      <c r="N34" s="273"/>
      <c r="O34" s="268"/>
      <c r="P34" s="268"/>
      <c r="Q34" s="268">
        <f t="shared" si="19"/>
        <v>0</v>
      </c>
      <c r="R34" s="268"/>
      <c r="S34" s="268"/>
      <c r="T34" s="269"/>
      <c r="U34" s="269">
        <f t="shared" si="8"/>
        <v>0</v>
      </c>
      <c r="V34" s="269">
        <f t="shared" si="20"/>
        <v>0</v>
      </c>
      <c r="W34" s="269">
        <f t="shared" si="9"/>
        <v>0</v>
      </c>
      <c r="X34" s="266">
        <f t="shared" si="21"/>
        <v>0</v>
      </c>
      <c r="Y34" s="266">
        <f t="shared" si="10"/>
        <v>0</v>
      </c>
      <c r="Z34" s="266">
        <f t="shared" si="11"/>
        <v>0</v>
      </c>
      <c r="AA34" s="270">
        <f t="shared" si="11"/>
        <v>0</v>
      </c>
      <c r="AB34" s="269"/>
      <c r="AC34" s="272">
        <f t="shared" si="22"/>
        <v>0</v>
      </c>
      <c r="AD34" s="269">
        <f t="shared" si="12"/>
        <v>0</v>
      </c>
      <c r="AE34" s="266">
        <f t="shared" si="23"/>
        <v>0</v>
      </c>
      <c r="AF34" s="273">
        <f t="shared" si="13"/>
        <v>0</v>
      </c>
      <c r="AG34" s="273">
        <f t="shared" si="14"/>
        <v>0</v>
      </c>
      <c r="AH34" s="276"/>
      <c r="AI34" s="276"/>
      <c r="AJ34" s="385">
        <f t="shared" si="15"/>
        <v>0</v>
      </c>
      <c r="AK34" s="281"/>
      <c r="AL34" s="282"/>
      <c r="AM34" s="282"/>
      <c r="AN34" s="282"/>
      <c r="AO34" s="282"/>
      <c r="AP34" s="282"/>
      <c r="AQ34" s="246"/>
      <c r="AR34" s="283"/>
    </row>
    <row r="35" spans="1:44" s="287" customFormat="1" ht="30" customHeight="1" thickTop="1">
      <c r="A35" s="539">
        <v>16</v>
      </c>
      <c r="B35" s="278" t="s">
        <v>239</v>
      </c>
      <c r="C35" s="548" t="s">
        <v>242</v>
      </c>
      <c r="D35" s="548"/>
      <c r="E35" s="264">
        <v>1</v>
      </c>
      <c r="F35" s="264">
        <v>4</v>
      </c>
      <c r="G35" s="265">
        <v>1542000</v>
      </c>
      <c r="H35" s="265">
        <v>9</v>
      </c>
      <c r="I35" s="240">
        <f t="shared" si="0"/>
        <v>13878000</v>
      </c>
      <c r="J35" s="266">
        <f>G35*1.2</f>
        <v>1850400</v>
      </c>
      <c r="K35" s="279"/>
      <c r="L35" s="266">
        <f>ROUNDDOWN((I35*40/209*1.5),-1)</f>
        <v>3984110</v>
      </c>
      <c r="M35" s="279">
        <f>40000*H35</f>
        <v>360000</v>
      </c>
      <c r="N35" s="267">
        <f>SUM((J35:M35),(J36:M36))</f>
        <v>7687330</v>
      </c>
      <c r="O35" s="268">
        <f>I35+N35+I36</f>
        <v>26347330</v>
      </c>
      <c r="P35" s="268">
        <f t="shared" si="16"/>
        <v>5356930</v>
      </c>
      <c r="Q35" s="268">
        <f t="shared" si="19"/>
        <v>11160.270833333332</v>
      </c>
      <c r="R35" s="268">
        <v>27423470</v>
      </c>
      <c r="S35" s="268">
        <v>12</v>
      </c>
      <c r="T35" s="269">
        <f t="shared" si="17"/>
        <v>2285280</v>
      </c>
      <c r="U35" s="269">
        <f t="shared" si="8"/>
        <v>27423360</v>
      </c>
      <c r="V35" s="269">
        <f t="shared" si="20"/>
        <v>1234050</v>
      </c>
      <c r="W35" s="269">
        <f t="shared" si="9"/>
        <v>2195610.8333333335</v>
      </c>
      <c r="X35" s="266">
        <f t="shared" si="21"/>
        <v>799640</v>
      </c>
      <c r="Y35" s="266">
        <f t="shared" si="10"/>
        <v>52370</v>
      </c>
      <c r="Z35" s="266">
        <f t="shared" si="11"/>
        <v>1234050</v>
      </c>
      <c r="AA35" s="270">
        <f t="shared" si="11"/>
        <v>2195610.8333333335</v>
      </c>
      <c r="AB35" s="271">
        <f>INT((AA35*$AB$3)*(H35+H36)/10)*10</f>
        <v>144910</v>
      </c>
      <c r="AC35" s="272">
        <f t="shared" si="22"/>
        <v>237120</v>
      </c>
      <c r="AD35" s="269">
        <f t="shared" si="12"/>
        <v>2195610.8333333335</v>
      </c>
      <c r="AE35" s="266">
        <f t="shared" si="23"/>
        <v>184430</v>
      </c>
      <c r="AF35" s="273">
        <f t="shared" si="13"/>
        <v>2507610</v>
      </c>
      <c r="AG35" s="273">
        <f t="shared" si="14"/>
        <v>2195610</v>
      </c>
      <c r="AH35" s="549">
        <f>O35+AF35+AG35</f>
        <v>31050550</v>
      </c>
      <c r="AI35" s="549"/>
      <c r="AJ35" s="385">
        <f t="shared" si="15"/>
        <v>2230970</v>
      </c>
      <c r="AK35" s="284">
        <f>X35/$AK$4</f>
        <v>799640</v>
      </c>
      <c r="AL35" s="285">
        <f>Y35/$AK$4</f>
        <v>52370</v>
      </c>
      <c r="AM35" s="285">
        <v>80550</v>
      </c>
      <c r="AN35" s="285">
        <f>Z35/$AK$4</f>
        <v>1234050</v>
      </c>
      <c r="AO35" s="285">
        <f>AC35/$AK$4</f>
        <v>237120</v>
      </c>
      <c r="AP35" s="285">
        <f>AE35/$AK$4</f>
        <v>184430</v>
      </c>
      <c r="AQ35" s="245" t="s">
        <v>242</v>
      </c>
      <c r="AR35" s="286">
        <f>17445310/8</f>
        <v>2180663.75</v>
      </c>
    </row>
    <row r="36" spans="1:44" s="242" customFormat="1" ht="30" customHeight="1" thickBot="1">
      <c r="A36" s="539"/>
      <c r="B36" s="278" t="s">
        <v>239</v>
      </c>
      <c r="C36" s="548" t="s">
        <v>242</v>
      </c>
      <c r="D36" s="548"/>
      <c r="E36" s="264">
        <v>10</v>
      </c>
      <c r="F36" s="264">
        <v>5</v>
      </c>
      <c r="G36" s="265">
        <v>1594000</v>
      </c>
      <c r="H36" s="265">
        <v>3</v>
      </c>
      <c r="I36" s="240">
        <f t="shared" si="0"/>
        <v>4782000</v>
      </c>
      <c r="J36" s="266"/>
      <c r="K36" s="279"/>
      <c r="L36" s="266">
        <f>ROUNDDOWN((I36*40/209*1.5),-1)</f>
        <v>1372820</v>
      </c>
      <c r="M36" s="279">
        <f>40000*H36</f>
        <v>120000</v>
      </c>
      <c r="N36" s="273"/>
      <c r="O36" s="268"/>
      <c r="P36" s="268"/>
      <c r="Q36" s="268">
        <f t="shared" si="19"/>
        <v>0</v>
      </c>
      <c r="R36" s="268"/>
      <c r="S36" s="268"/>
      <c r="T36" s="269"/>
      <c r="U36" s="269">
        <f t="shared" si="8"/>
        <v>0</v>
      </c>
      <c r="V36" s="269">
        <f t="shared" si="20"/>
        <v>0</v>
      </c>
      <c r="W36" s="269">
        <f t="shared" si="9"/>
        <v>0</v>
      </c>
      <c r="X36" s="266">
        <f t="shared" si="21"/>
        <v>0</v>
      </c>
      <c r="Y36" s="266">
        <f t="shared" si="10"/>
        <v>0</v>
      </c>
      <c r="Z36" s="266">
        <f t="shared" si="11"/>
        <v>0</v>
      </c>
      <c r="AA36" s="270">
        <f t="shared" si="11"/>
        <v>0</v>
      </c>
      <c r="AB36" s="269"/>
      <c r="AC36" s="272">
        <f t="shared" si="22"/>
        <v>0</v>
      </c>
      <c r="AD36" s="269">
        <f t="shared" si="12"/>
        <v>0</v>
      </c>
      <c r="AE36" s="266">
        <f t="shared" si="23"/>
        <v>0</v>
      </c>
      <c r="AF36" s="273">
        <f t="shared" si="13"/>
        <v>0</v>
      </c>
      <c r="AG36" s="273">
        <f t="shared" si="14"/>
        <v>0</v>
      </c>
      <c r="AH36" s="276"/>
      <c r="AI36" s="276"/>
      <c r="AJ36" s="385">
        <f t="shared" si="15"/>
        <v>0</v>
      </c>
      <c r="AK36" s="281"/>
      <c r="AL36" s="282"/>
      <c r="AM36" s="282"/>
      <c r="AN36" s="282"/>
      <c r="AO36" s="282"/>
      <c r="AP36" s="282"/>
      <c r="AQ36" s="246"/>
      <c r="AR36" s="283"/>
    </row>
    <row r="37" spans="1:44" s="287" customFormat="1" ht="30" customHeight="1" thickTop="1">
      <c r="A37" s="539">
        <v>17</v>
      </c>
      <c r="B37" s="278" t="s">
        <v>243</v>
      </c>
      <c r="C37" s="553" t="s">
        <v>244</v>
      </c>
      <c r="D37" s="553"/>
      <c r="E37" s="264">
        <v>1</v>
      </c>
      <c r="F37" s="264">
        <v>6</v>
      </c>
      <c r="G37" s="303">
        <v>1694000</v>
      </c>
      <c r="H37" s="265">
        <v>11</v>
      </c>
      <c r="I37" s="240">
        <f t="shared" si="0"/>
        <v>18634000</v>
      </c>
      <c r="J37" s="266">
        <f>G37*1.2</f>
        <v>2032800</v>
      </c>
      <c r="K37" s="279"/>
      <c r="L37" s="279">
        <f>ROUNDDOWN((I37*20/209*1.5),-1)</f>
        <v>2674730</v>
      </c>
      <c r="M37" s="279">
        <f>80000*H37</f>
        <v>880000</v>
      </c>
      <c r="N37" s="267">
        <f>SUM((J37:M37),(J38:M38))</f>
        <v>5918150</v>
      </c>
      <c r="O37" s="268">
        <f>I37+N37+I38</f>
        <v>26298150</v>
      </c>
      <c r="P37" s="268">
        <f t="shared" si="16"/>
        <v>2925350</v>
      </c>
      <c r="Q37" s="268">
        <f>(P37/12)/20</f>
        <v>12188.958333333332</v>
      </c>
      <c r="R37" s="268">
        <v>26930790</v>
      </c>
      <c r="S37" s="268">
        <v>12</v>
      </c>
      <c r="T37" s="269">
        <f t="shared" si="17"/>
        <v>2244230</v>
      </c>
      <c r="U37" s="269">
        <f t="shared" si="8"/>
        <v>26930760</v>
      </c>
      <c r="V37" s="269">
        <f t="shared" si="20"/>
        <v>1211880</v>
      </c>
      <c r="W37" s="269">
        <f t="shared" si="9"/>
        <v>2191512.5</v>
      </c>
      <c r="X37" s="266">
        <f t="shared" si="21"/>
        <v>798140</v>
      </c>
      <c r="Y37" s="266">
        <f t="shared" si="10"/>
        <v>52270</v>
      </c>
      <c r="Z37" s="266">
        <f t="shared" si="11"/>
        <v>1211880</v>
      </c>
      <c r="AA37" s="270">
        <f t="shared" si="11"/>
        <v>2191512.5</v>
      </c>
      <c r="AB37" s="271">
        <f>INT((AA37*$AB$3)*(H37+H38)/10)*10</f>
        <v>144630</v>
      </c>
      <c r="AC37" s="272">
        <f t="shared" si="22"/>
        <v>236680</v>
      </c>
      <c r="AD37" s="269">
        <f t="shared" si="12"/>
        <v>2191512.5</v>
      </c>
      <c r="AE37" s="266">
        <f t="shared" si="23"/>
        <v>184080</v>
      </c>
      <c r="AF37" s="273">
        <f t="shared" si="13"/>
        <v>2483050</v>
      </c>
      <c r="AG37" s="273">
        <f t="shared" si="14"/>
        <v>2191510</v>
      </c>
      <c r="AH37" s="549">
        <f>O37+AF37+AG37</f>
        <v>30972710</v>
      </c>
      <c r="AI37" s="549"/>
      <c r="AJ37" s="385">
        <f t="shared" si="15"/>
        <v>2206920</v>
      </c>
      <c r="AK37" s="284"/>
      <c r="AL37" s="285"/>
      <c r="AM37" s="285"/>
      <c r="AN37" s="285"/>
      <c r="AO37" s="285"/>
      <c r="AP37" s="285"/>
      <c r="AQ37" s="245"/>
      <c r="AR37" s="286"/>
    </row>
    <row r="38" spans="1:44" s="242" customFormat="1" ht="30" customHeight="1" thickBot="1">
      <c r="A38" s="539"/>
      <c r="B38" s="278" t="s">
        <v>243</v>
      </c>
      <c r="C38" s="553" t="s">
        <v>244</v>
      </c>
      <c r="D38" s="553"/>
      <c r="E38" s="264">
        <v>12</v>
      </c>
      <c r="F38" s="264">
        <v>7</v>
      </c>
      <c r="G38" s="303">
        <v>1746000</v>
      </c>
      <c r="H38" s="265">
        <v>1</v>
      </c>
      <c r="I38" s="240">
        <f t="shared" si="0"/>
        <v>1746000</v>
      </c>
      <c r="J38" s="266"/>
      <c r="K38" s="279"/>
      <c r="L38" s="279">
        <f aca="true" t="shared" si="24" ref="L38:L44">ROUNDDOWN((I38*20/209*1.5),-1)</f>
        <v>250620</v>
      </c>
      <c r="M38" s="279">
        <f>80000*H38</f>
        <v>80000</v>
      </c>
      <c r="N38" s="273"/>
      <c r="O38" s="268"/>
      <c r="P38" s="268"/>
      <c r="Q38" s="268">
        <f aca="true" t="shared" si="25" ref="Q38:Q43">(P38/12)/20</f>
        <v>0</v>
      </c>
      <c r="R38" s="268"/>
      <c r="S38" s="268"/>
      <c r="T38" s="269"/>
      <c r="U38" s="269">
        <f t="shared" si="8"/>
        <v>0</v>
      </c>
      <c r="V38" s="269">
        <f t="shared" si="20"/>
        <v>0</v>
      </c>
      <c r="W38" s="269">
        <f t="shared" si="9"/>
        <v>0</v>
      </c>
      <c r="X38" s="266">
        <f t="shared" si="21"/>
        <v>0</v>
      </c>
      <c r="Y38" s="266">
        <f t="shared" si="10"/>
        <v>0</v>
      </c>
      <c r="Z38" s="266">
        <f t="shared" si="11"/>
        <v>0</v>
      </c>
      <c r="AA38" s="270">
        <f t="shared" si="11"/>
        <v>0</v>
      </c>
      <c r="AB38" s="269"/>
      <c r="AC38" s="272">
        <f t="shared" si="22"/>
        <v>0</v>
      </c>
      <c r="AD38" s="269">
        <f t="shared" si="12"/>
        <v>0</v>
      </c>
      <c r="AE38" s="266">
        <f t="shared" si="23"/>
        <v>0</v>
      </c>
      <c r="AF38" s="273">
        <f t="shared" si="13"/>
        <v>0</v>
      </c>
      <c r="AG38" s="273">
        <f t="shared" si="14"/>
        <v>0</v>
      </c>
      <c r="AH38" s="276"/>
      <c r="AI38" s="276"/>
      <c r="AJ38" s="385">
        <f t="shared" si="15"/>
        <v>0</v>
      </c>
      <c r="AK38" s="281"/>
      <c r="AL38" s="282"/>
      <c r="AM38" s="282"/>
      <c r="AN38" s="282"/>
      <c r="AO38" s="282"/>
      <c r="AP38" s="282"/>
      <c r="AQ38" s="246"/>
      <c r="AR38" s="283"/>
    </row>
    <row r="39" spans="1:44" s="287" customFormat="1" ht="30" customHeight="1" thickTop="1">
      <c r="A39" s="539">
        <v>18</v>
      </c>
      <c r="B39" s="278" t="s">
        <v>245</v>
      </c>
      <c r="C39" s="548" t="s">
        <v>246</v>
      </c>
      <c r="D39" s="548"/>
      <c r="E39" s="264">
        <v>1</v>
      </c>
      <c r="F39" s="264">
        <v>4</v>
      </c>
      <c r="G39" s="303">
        <v>1734000</v>
      </c>
      <c r="H39" s="265">
        <v>11</v>
      </c>
      <c r="I39" s="240">
        <f t="shared" si="0"/>
        <v>19074000</v>
      </c>
      <c r="J39" s="266">
        <f>G39*1.2</f>
        <v>2080800</v>
      </c>
      <c r="K39" s="279"/>
      <c r="L39" s="279">
        <f t="shared" si="24"/>
        <v>2737890</v>
      </c>
      <c r="M39" s="279">
        <f>20000*H39</f>
        <v>220000</v>
      </c>
      <c r="N39" s="267">
        <f>SUM((J39:M39),(J40:M40))</f>
        <v>5314910</v>
      </c>
      <c r="O39" s="268">
        <f>I39+N39+I40</f>
        <v>26173910</v>
      </c>
      <c r="P39" s="268">
        <f t="shared" si="16"/>
        <v>2994110</v>
      </c>
      <c r="Q39" s="268">
        <f t="shared" si="25"/>
        <v>12475.458333333332</v>
      </c>
      <c r="R39" s="268">
        <v>27562630</v>
      </c>
      <c r="S39" s="268">
        <v>12</v>
      </c>
      <c r="T39" s="269">
        <f t="shared" si="17"/>
        <v>2296880</v>
      </c>
      <c r="U39" s="269">
        <f t="shared" si="8"/>
        <v>27562560</v>
      </c>
      <c r="V39" s="269">
        <f t="shared" si="20"/>
        <v>1240310</v>
      </c>
      <c r="W39" s="269">
        <f t="shared" si="9"/>
        <v>2181159.1666666665</v>
      </c>
      <c r="X39" s="266">
        <f t="shared" si="21"/>
        <v>794370</v>
      </c>
      <c r="Y39" s="266">
        <f t="shared" si="10"/>
        <v>52030</v>
      </c>
      <c r="Z39" s="266">
        <f t="shared" si="11"/>
        <v>1240310</v>
      </c>
      <c r="AA39" s="270">
        <f t="shared" si="11"/>
        <v>2181159.1666666665</v>
      </c>
      <c r="AB39" s="271">
        <f>INT((AA39*$AB$3)*(H39+H40)/10)*10</f>
        <v>143950</v>
      </c>
      <c r="AC39" s="272">
        <f t="shared" si="22"/>
        <v>235560</v>
      </c>
      <c r="AD39" s="269">
        <f t="shared" si="12"/>
        <v>2181159.1666666665</v>
      </c>
      <c r="AE39" s="266">
        <f t="shared" si="23"/>
        <v>183210</v>
      </c>
      <c r="AF39" s="273">
        <f t="shared" si="13"/>
        <v>2505480</v>
      </c>
      <c r="AG39" s="273">
        <f t="shared" si="14"/>
        <v>2181150</v>
      </c>
      <c r="AH39" s="549">
        <f>O39+AF39+AG39</f>
        <v>30860540</v>
      </c>
      <c r="AI39" s="549"/>
      <c r="AJ39" s="385">
        <f t="shared" si="15"/>
        <v>2230660</v>
      </c>
      <c r="AK39" s="284"/>
      <c r="AL39" s="285">
        <f>Y39/$AK$4</f>
        <v>52030</v>
      </c>
      <c r="AM39" s="285"/>
      <c r="AN39" s="285"/>
      <c r="AO39" s="285"/>
      <c r="AP39" s="285"/>
      <c r="AQ39" s="245"/>
      <c r="AR39" s="286"/>
    </row>
    <row r="40" spans="1:44" s="242" customFormat="1" ht="30" customHeight="1" thickBot="1">
      <c r="A40" s="539"/>
      <c r="B40" s="278" t="s">
        <v>245</v>
      </c>
      <c r="C40" s="548" t="s">
        <v>246</v>
      </c>
      <c r="D40" s="548"/>
      <c r="E40" s="264">
        <v>12</v>
      </c>
      <c r="F40" s="264">
        <v>5</v>
      </c>
      <c r="G40" s="303">
        <v>1785000</v>
      </c>
      <c r="H40" s="265">
        <v>1</v>
      </c>
      <c r="I40" s="240">
        <f t="shared" si="0"/>
        <v>1785000</v>
      </c>
      <c r="J40" s="266"/>
      <c r="K40" s="279"/>
      <c r="L40" s="279">
        <f t="shared" si="24"/>
        <v>256220</v>
      </c>
      <c r="M40" s="279">
        <f>20000*H40</f>
        <v>20000</v>
      </c>
      <c r="N40" s="273"/>
      <c r="O40" s="268"/>
      <c r="P40" s="268"/>
      <c r="Q40" s="268">
        <f t="shared" si="25"/>
        <v>0</v>
      </c>
      <c r="R40" s="268"/>
      <c r="S40" s="268"/>
      <c r="T40" s="269"/>
      <c r="U40" s="269">
        <f t="shared" si="8"/>
        <v>0</v>
      </c>
      <c r="V40" s="269">
        <f t="shared" si="20"/>
        <v>0</v>
      </c>
      <c r="W40" s="269">
        <f t="shared" si="9"/>
        <v>0</v>
      </c>
      <c r="X40" s="266">
        <f t="shared" si="21"/>
        <v>0</v>
      </c>
      <c r="Y40" s="266">
        <f t="shared" si="10"/>
        <v>0</v>
      </c>
      <c r="Z40" s="266">
        <f t="shared" si="11"/>
        <v>0</v>
      </c>
      <c r="AA40" s="270">
        <f t="shared" si="11"/>
        <v>0</v>
      </c>
      <c r="AB40" s="269"/>
      <c r="AC40" s="272">
        <f t="shared" si="22"/>
        <v>0</v>
      </c>
      <c r="AD40" s="269">
        <f t="shared" si="12"/>
        <v>0</v>
      </c>
      <c r="AE40" s="266">
        <f t="shared" si="23"/>
        <v>0</v>
      </c>
      <c r="AF40" s="273">
        <f t="shared" si="13"/>
        <v>0</v>
      </c>
      <c r="AG40" s="273">
        <f t="shared" si="14"/>
        <v>0</v>
      </c>
      <c r="AH40" s="276"/>
      <c r="AI40" s="276"/>
      <c r="AJ40" s="385">
        <f t="shared" si="15"/>
        <v>0</v>
      </c>
      <c r="AK40" s="281"/>
      <c r="AL40" s="282"/>
      <c r="AM40" s="282"/>
      <c r="AN40" s="282"/>
      <c r="AO40" s="282"/>
      <c r="AP40" s="282"/>
      <c r="AQ40" s="246"/>
      <c r="AR40" s="283"/>
    </row>
    <row r="41" spans="1:44" s="287" customFormat="1" ht="30" customHeight="1" thickTop="1">
      <c r="A41" s="539">
        <v>19</v>
      </c>
      <c r="B41" s="278" t="s">
        <v>247</v>
      </c>
      <c r="C41" s="548" t="s">
        <v>248</v>
      </c>
      <c r="D41" s="548"/>
      <c r="E41" s="264">
        <v>1</v>
      </c>
      <c r="F41" s="264">
        <v>9</v>
      </c>
      <c r="G41" s="265">
        <v>2435000</v>
      </c>
      <c r="H41" s="265">
        <v>2</v>
      </c>
      <c r="I41" s="240">
        <f t="shared" si="0"/>
        <v>4870000</v>
      </c>
      <c r="J41" s="266">
        <f t="shared" si="7"/>
        <v>1461000</v>
      </c>
      <c r="K41" s="279"/>
      <c r="L41" s="279">
        <f t="shared" si="24"/>
        <v>699040</v>
      </c>
      <c r="M41" s="279"/>
      <c r="N41" s="267">
        <f>SUM((J41:M41),(J42:M42))</f>
        <v>7307580</v>
      </c>
      <c r="O41" s="268">
        <f>I41+N41+I42</f>
        <v>37467580</v>
      </c>
      <c r="P41" s="268">
        <f t="shared" si="16"/>
        <v>4329180</v>
      </c>
      <c r="Q41" s="268">
        <f t="shared" si="25"/>
        <v>18038.25</v>
      </c>
      <c r="R41" s="268">
        <v>28462330</v>
      </c>
      <c r="S41" s="268">
        <v>12</v>
      </c>
      <c r="T41" s="269">
        <f t="shared" si="17"/>
        <v>2371860</v>
      </c>
      <c r="U41" s="269">
        <f t="shared" si="8"/>
        <v>28462320</v>
      </c>
      <c r="V41" s="269">
        <f t="shared" si="20"/>
        <v>1280800</v>
      </c>
      <c r="W41" s="269">
        <f t="shared" si="9"/>
        <v>3122298.3333333335</v>
      </c>
      <c r="X41" s="266">
        <f t="shared" si="21"/>
        <v>1137140</v>
      </c>
      <c r="Y41" s="266">
        <f t="shared" si="10"/>
        <v>74480</v>
      </c>
      <c r="Z41" s="266">
        <f t="shared" si="11"/>
        <v>1280800</v>
      </c>
      <c r="AA41" s="270">
        <f t="shared" si="11"/>
        <v>3122298.3333333335</v>
      </c>
      <c r="AB41" s="271">
        <f>INT((AA41*$AB$3)*(H41+H42)/10)*10</f>
        <v>206070</v>
      </c>
      <c r="AC41" s="272">
        <f t="shared" si="22"/>
        <v>337200</v>
      </c>
      <c r="AD41" s="269">
        <f t="shared" si="12"/>
        <v>3122298.3333333335</v>
      </c>
      <c r="AE41" s="266">
        <f t="shared" si="23"/>
        <v>262270</v>
      </c>
      <c r="AF41" s="273">
        <f t="shared" si="13"/>
        <v>3091890</v>
      </c>
      <c r="AG41" s="273">
        <f t="shared" si="14"/>
        <v>3122290</v>
      </c>
      <c r="AH41" s="549">
        <f>O41+AF41+AG41</f>
        <v>43681760</v>
      </c>
      <c r="AI41" s="549"/>
      <c r="AJ41" s="385">
        <f t="shared" si="15"/>
        <v>2698490</v>
      </c>
      <c r="AK41" s="284">
        <f>X41/$AK$4</f>
        <v>1137140</v>
      </c>
      <c r="AL41" s="285">
        <f>Y41/$AK$4</f>
        <v>74480</v>
      </c>
      <c r="AM41" s="285">
        <v>112500</v>
      </c>
      <c r="AN41" s="285">
        <f>Z41/$AK$4</f>
        <v>1280800</v>
      </c>
      <c r="AO41" s="285">
        <f>AC41/$AK$4</f>
        <v>337200</v>
      </c>
      <c r="AP41" s="285">
        <f>AE41/$AK$4</f>
        <v>262270</v>
      </c>
      <c r="AQ41" s="245" t="s">
        <v>249</v>
      </c>
      <c r="AR41" s="286">
        <f>24769490/12</f>
        <v>2064124.1666666667</v>
      </c>
    </row>
    <row r="42" spans="1:44" s="242" customFormat="1" ht="30" customHeight="1" thickBot="1">
      <c r="A42" s="539"/>
      <c r="B42" s="278" t="s">
        <v>247</v>
      </c>
      <c r="C42" s="548" t="s">
        <v>248</v>
      </c>
      <c r="D42" s="548"/>
      <c r="E42" s="264">
        <v>2</v>
      </c>
      <c r="F42" s="264">
        <v>10</v>
      </c>
      <c r="G42" s="265">
        <v>2529000</v>
      </c>
      <c r="H42" s="265">
        <v>10</v>
      </c>
      <c r="I42" s="240">
        <f t="shared" si="0"/>
        <v>25290000</v>
      </c>
      <c r="J42" s="266">
        <f t="shared" si="7"/>
        <v>1517400</v>
      </c>
      <c r="K42" s="279"/>
      <c r="L42" s="279">
        <f t="shared" si="24"/>
        <v>3630140</v>
      </c>
      <c r="M42" s="279"/>
      <c r="N42" s="273"/>
      <c r="O42" s="268"/>
      <c r="P42" s="268"/>
      <c r="Q42" s="268">
        <f t="shared" si="25"/>
        <v>0</v>
      </c>
      <c r="R42" s="268"/>
      <c r="S42" s="268"/>
      <c r="T42" s="269"/>
      <c r="U42" s="269">
        <f t="shared" si="8"/>
        <v>0</v>
      </c>
      <c r="V42" s="269">
        <f t="shared" si="20"/>
        <v>0</v>
      </c>
      <c r="W42" s="269">
        <f t="shared" si="9"/>
        <v>0</v>
      </c>
      <c r="X42" s="266">
        <f t="shared" si="21"/>
        <v>0</v>
      </c>
      <c r="Y42" s="266">
        <f t="shared" si="10"/>
        <v>0</v>
      </c>
      <c r="Z42" s="266">
        <f t="shared" si="11"/>
        <v>0</v>
      </c>
      <c r="AA42" s="270">
        <f t="shared" si="11"/>
        <v>0</v>
      </c>
      <c r="AB42" s="269"/>
      <c r="AC42" s="272">
        <f t="shared" si="22"/>
        <v>0</v>
      </c>
      <c r="AD42" s="269">
        <f t="shared" si="12"/>
        <v>0</v>
      </c>
      <c r="AE42" s="266">
        <f t="shared" si="23"/>
        <v>0</v>
      </c>
      <c r="AF42" s="273">
        <f t="shared" si="13"/>
        <v>0</v>
      </c>
      <c r="AG42" s="273">
        <f t="shared" si="14"/>
        <v>0</v>
      </c>
      <c r="AH42" s="276"/>
      <c r="AI42" s="276"/>
      <c r="AJ42" s="385">
        <f t="shared" si="15"/>
        <v>0</v>
      </c>
      <c r="AK42" s="281"/>
      <c r="AL42" s="282"/>
      <c r="AM42" s="282"/>
      <c r="AN42" s="282"/>
      <c r="AO42" s="282"/>
      <c r="AP42" s="282"/>
      <c r="AQ42" s="246"/>
      <c r="AR42" s="283"/>
    </row>
    <row r="43" spans="1:44" s="287" customFormat="1" ht="30" customHeight="1" thickTop="1">
      <c r="A43" s="539">
        <v>20</v>
      </c>
      <c r="B43" s="278" t="s">
        <v>250</v>
      </c>
      <c r="C43" s="548" t="s">
        <v>251</v>
      </c>
      <c r="D43" s="548"/>
      <c r="E43" s="264">
        <v>1</v>
      </c>
      <c r="F43" s="264">
        <v>3</v>
      </c>
      <c r="G43" s="265">
        <v>1866000</v>
      </c>
      <c r="H43" s="265">
        <v>4</v>
      </c>
      <c r="I43" s="240">
        <f t="shared" si="0"/>
        <v>7464000</v>
      </c>
      <c r="J43" s="266">
        <f t="shared" si="7"/>
        <v>1119600</v>
      </c>
      <c r="K43" s="279"/>
      <c r="L43" s="279">
        <f t="shared" si="24"/>
        <v>1071380</v>
      </c>
      <c r="M43" s="279"/>
      <c r="N43" s="267">
        <f>SUM((J43:M43),(J44:M44))</f>
        <v>5608950</v>
      </c>
      <c r="O43" s="268">
        <f>I43+N43+I44</f>
        <v>28712950</v>
      </c>
      <c r="P43" s="268">
        <f t="shared" si="16"/>
        <v>3316350</v>
      </c>
      <c r="Q43" s="268">
        <f t="shared" si="25"/>
        <v>13818.125</v>
      </c>
      <c r="R43" s="268">
        <v>29790780</v>
      </c>
      <c r="S43" s="268">
        <v>12</v>
      </c>
      <c r="T43" s="269">
        <f t="shared" si="17"/>
        <v>2482560</v>
      </c>
      <c r="U43" s="269">
        <f t="shared" si="8"/>
        <v>29790720</v>
      </c>
      <c r="V43" s="269">
        <f t="shared" si="20"/>
        <v>1340580</v>
      </c>
      <c r="W43" s="269">
        <f t="shared" si="9"/>
        <v>2392745.8333333335</v>
      </c>
      <c r="X43" s="266">
        <f t="shared" si="21"/>
        <v>871430</v>
      </c>
      <c r="Y43" s="266">
        <f t="shared" si="10"/>
        <v>57070</v>
      </c>
      <c r="Z43" s="266">
        <f t="shared" si="11"/>
        <v>1340580</v>
      </c>
      <c r="AA43" s="270">
        <f t="shared" si="11"/>
        <v>2392745.8333333335</v>
      </c>
      <c r="AB43" s="271">
        <f>INT((AA43*$AB$3)*(H43+H44)/10)*10</f>
        <v>157920</v>
      </c>
      <c r="AC43" s="272">
        <f t="shared" si="22"/>
        <v>258410</v>
      </c>
      <c r="AD43" s="269">
        <f t="shared" si="12"/>
        <v>2392745.8333333335</v>
      </c>
      <c r="AE43" s="266">
        <f t="shared" si="23"/>
        <v>200990</v>
      </c>
      <c r="AF43" s="273">
        <f t="shared" si="13"/>
        <v>2728480</v>
      </c>
      <c r="AG43" s="273">
        <f t="shared" si="14"/>
        <v>2392740</v>
      </c>
      <c r="AH43" s="549">
        <f>O43+AF43+AG43</f>
        <v>33834170</v>
      </c>
      <c r="AI43" s="549"/>
      <c r="AJ43" s="385">
        <f t="shared" si="15"/>
        <v>2427000</v>
      </c>
      <c r="AK43" s="284">
        <f>X43/$AK$4</f>
        <v>871430</v>
      </c>
      <c r="AL43" s="285">
        <f>Y43/$AK$4</f>
        <v>57070</v>
      </c>
      <c r="AM43" s="285">
        <v>99000</v>
      </c>
      <c r="AN43" s="285">
        <f>Z43/$AK$4</f>
        <v>1340580</v>
      </c>
      <c r="AO43" s="285">
        <f>AC43/$AK$4</f>
        <v>258410</v>
      </c>
      <c r="AP43" s="285">
        <f>AE43/$AK$4</f>
        <v>200990</v>
      </c>
      <c r="AQ43" s="245" t="s">
        <v>251</v>
      </c>
      <c r="AR43" s="286">
        <f>18945220/9</f>
        <v>2105024.4444444445</v>
      </c>
    </row>
    <row r="44" spans="1:44" s="242" customFormat="1" ht="30" customHeight="1" thickBot="1">
      <c r="A44" s="539"/>
      <c r="B44" s="278" t="s">
        <v>250</v>
      </c>
      <c r="C44" s="548" t="s">
        <v>251</v>
      </c>
      <c r="D44" s="548"/>
      <c r="E44" s="264">
        <v>5</v>
      </c>
      <c r="F44" s="264">
        <v>4</v>
      </c>
      <c r="G44" s="265">
        <v>1955000</v>
      </c>
      <c r="H44" s="265">
        <v>8</v>
      </c>
      <c r="I44" s="240">
        <f t="shared" si="0"/>
        <v>15640000</v>
      </c>
      <c r="J44" s="266">
        <f t="shared" si="7"/>
        <v>1173000</v>
      </c>
      <c r="K44" s="279"/>
      <c r="L44" s="279">
        <f t="shared" si="24"/>
        <v>2244970</v>
      </c>
      <c r="M44" s="279"/>
      <c r="N44" s="273"/>
      <c r="O44" s="268"/>
      <c r="P44" s="268"/>
      <c r="Q44" s="268"/>
      <c r="R44" s="268"/>
      <c r="S44" s="268"/>
      <c r="T44" s="269"/>
      <c r="U44" s="269"/>
      <c r="V44" s="269"/>
      <c r="W44" s="269">
        <f t="shared" si="9"/>
        <v>0</v>
      </c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76"/>
      <c r="AJ44" s="385">
        <f t="shared" si="15"/>
        <v>0</v>
      </c>
      <c r="AK44" s="281"/>
      <c r="AL44" s="282"/>
      <c r="AM44" s="282"/>
      <c r="AN44" s="282"/>
      <c r="AO44" s="282"/>
      <c r="AP44" s="282"/>
      <c r="AQ44" s="304"/>
      <c r="AR44" s="305"/>
    </row>
    <row r="45" spans="1:42" ht="48" customHeight="1" thickTop="1">
      <c r="A45" s="449" t="s">
        <v>252</v>
      </c>
      <c r="B45" s="449"/>
      <c r="C45" s="449"/>
      <c r="D45" s="449"/>
      <c r="E45" s="449"/>
      <c r="F45" s="449"/>
      <c r="G45" s="306">
        <f>SUM(G5:G44)</f>
        <v>82853000</v>
      </c>
      <c r="H45" s="306"/>
      <c r="I45" s="307">
        <f>SUM(I5+I6+I7+I8+I9+I10+I11+I12+I13+I14+I15+I16+I17+I18+I19+I20+I21+I22+I23+I24+I25+I26+I27+I28+I29+I30+I33+I34+I35+I36+I37+I38+I39+I40+I41+I42+I43+I44+I31+I32)</f>
        <v>496522000</v>
      </c>
      <c r="J45" s="307">
        <f aca="true" t="shared" si="26" ref="J45:AH45">SUM(J5+J6+J7+J8+J9+J10+J11+J12+J13+J14+J15+J16+J17+J18+J19+J20+J21+J22+J23+J24+J25+J26+J27+J28+J29+J30+J33+J34+J35+J36+J37+J38+J39+J40+J41+J42+J43+J44+J31+J32)</f>
        <v>49561440</v>
      </c>
      <c r="K45" s="307">
        <f t="shared" si="26"/>
        <v>3600000</v>
      </c>
      <c r="L45" s="307">
        <f t="shared" si="26"/>
        <v>113695660</v>
      </c>
      <c r="M45" s="307">
        <f t="shared" si="26"/>
        <v>6480000</v>
      </c>
      <c r="N45" s="307">
        <f t="shared" si="26"/>
        <v>173337100</v>
      </c>
      <c r="O45" s="307">
        <f t="shared" si="26"/>
        <v>669859100</v>
      </c>
      <c r="P45" s="307">
        <f t="shared" si="26"/>
        <v>113695660</v>
      </c>
      <c r="Q45" s="307">
        <f t="shared" si="26"/>
        <v>296962.43750000006</v>
      </c>
      <c r="R45" s="307">
        <f t="shared" si="26"/>
        <v>688536490</v>
      </c>
      <c r="S45" s="307">
        <f t="shared" si="26"/>
        <v>240</v>
      </c>
      <c r="T45" s="307">
        <f t="shared" si="26"/>
        <v>57377930</v>
      </c>
      <c r="U45" s="307">
        <f t="shared" si="26"/>
        <v>667453770</v>
      </c>
      <c r="V45" s="307">
        <f t="shared" si="26"/>
        <v>30984010</v>
      </c>
      <c r="W45" s="307">
        <f t="shared" si="26"/>
        <v>55821591.66666667</v>
      </c>
      <c r="X45" s="307">
        <f t="shared" si="26"/>
        <v>20330120</v>
      </c>
      <c r="Y45" s="307">
        <f t="shared" si="26"/>
        <v>1331500</v>
      </c>
      <c r="Z45" s="307">
        <f t="shared" si="26"/>
        <v>30984010</v>
      </c>
      <c r="AA45" s="307">
        <f t="shared" si="26"/>
        <v>55821591.66666667</v>
      </c>
      <c r="AB45" s="307">
        <f t="shared" si="26"/>
        <v>3684130</v>
      </c>
      <c r="AC45" s="307">
        <f t="shared" si="26"/>
        <v>6028640</v>
      </c>
      <c r="AD45" s="307">
        <f t="shared" si="26"/>
        <v>55821591.66666667</v>
      </c>
      <c r="AE45" s="307">
        <f t="shared" si="26"/>
        <v>4688930</v>
      </c>
      <c r="AF45" s="307">
        <f t="shared" si="26"/>
        <v>63363200</v>
      </c>
      <c r="AG45" s="307">
        <f t="shared" si="26"/>
        <v>55821520</v>
      </c>
      <c r="AH45" s="307">
        <f t="shared" si="26"/>
        <v>789043820</v>
      </c>
      <c r="AI45" s="307" t="e">
        <f>SUM(AI5+AI6+AI7+AI8+AI9+AI10+AI11+AI12+AI13+AI14+AI15+AI16+AI17+AI18+AI19+AI20+AI21+AI22+AI23+AI24+AI25+AI26+AI27+AI28+AI29+AI30+AI33+AI34+AI35+AI36+AI37+AI38+AI39+AI40+AI41+AI42+AI43+AI44+#REF!+#REF!)</f>
        <v>#REF!</v>
      </c>
      <c r="AJ45" s="386"/>
      <c r="AK45" s="308">
        <f>SUM(AK5:AK43)</f>
        <v>16599380</v>
      </c>
      <c r="AL45" s="309">
        <f>SUM(AL5:AL43)</f>
        <v>1139180</v>
      </c>
      <c r="AM45" s="309">
        <f>SUM(AM3:AM43)</f>
        <v>1593761</v>
      </c>
      <c r="AN45" s="309">
        <f>SUM(AN5:AN43)</f>
        <v>25200450</v>
      </c>
      <c r="AO45" s="309">
        <f>SUM(AO5:AO43)</f>
        <v>4922330</v>
      </c>
      <c r="AP45" s="309">
        <f>SUM(AP5:AP43)</f>
        <v>3828480</v>
      </c>
    </row>
    <row r="46" spans="1:36" ht="24" customHeight="1" hidden="1">
      <c r="A46" s="310">
        <v>3</v>
      </c>
      <c r="B46" s="311" t="s">
        <v>253</v>
      </c>
      <c r="C46" s="311"/>
      <c r="D46" s="312" t="s">
        <v>227</v>
      </c>
      <c r="E46" s="312"/>
      <c r="F46" s="312">
        <v>6</v>
      </c>
      <c r="G46" s="550">
        <f aca="true" t="shared" si="27" ref="G46:G59">80000*3</f>
        <v>240000</v>
      </c>
      <c r="H46" s="550"/>
      <c r="I46" s="313">
        <f>40000*H4</f>
        <v>0</v>
      </c>
      <c r="J46" s="551">
        <f aca="true" t="shared" si="28" ref="J46:J60">G46+I46</f>
        <v>240000</v>
      </c>
      <c r="K46" s="552"/>
      <c r="Y46" s="4"/>
      <c r="Z46" s="4"/>
      <c r="AA46" s="4"/>
      <c r="AB46" s="4"/>
      <c r="AC46" s="7"/>
      <c r="AD46" s="7"/>
      <c r="AE46" s="5"/>
      <c r="AF46" s="5"/>
      <c r="AG46" s="5"/>
      <c r="AH46" s="6"/>
      <c r="AI46" s="6"/>
      <c r="AJ46" s="6"/>
    </row>
    <row r="47" spans="1:36" ht="24" customHeight="1" hidden="1">
      <c r="A47" s="314">
        <v>4</v>
      </c>
      <c r="B47" s="264" t="s">
        <v>228</v>
      </c>
      <c r="C47" s="264"/>
      <c r="D47" s="264" t="s">
        <v>229</v>
      </c>
      <c r="E47" s="264"/>
      <c r="F47" s="264">
        <v>2</v>
      </c>
      <c r="G47" s="545">
        <f t="shared" si="27"/>
        <v>240000</v>
      </c>
      <c r="H47" s="545"/>
      <c r="I47" s="10">
        <f>40000*H5</f>
        <v>80000</v>
      </c>
      <c r="J47" s="546">
        <f t="shared" si="28"/>
        <v>320000</v>
      </c>
      <c r="K47" s="547"/>
      <c r="Y47" s="5"/>
      <c r="Z47" s="5"/>
      <c r="AA47" s="5"/>
      <c r="AB47" s="5"/>
      <c r="AC47" s="7"/>
      <c r="AD47" s="7"/>
      <c r="AE47" s="5"/>
      <c r="AF47" s="5"/>
      <c r="AG47" s="5"/>
      <c r="AH47" s="6"/>
      <c r="AI47" s="6"/>
      <c r="AJ47" s="6"/>
    </row>
    <row r="48" spans="1:36" ht="24" customHeight="1" hidden="1">
      <c r="A48" s="314">
        <v>5</v>
      </c>
      <c r="B48" s="264" t="s">
        <v>228</v>
      </c>
      <c r="C48" s="264"/>
      <c r="D48" s="264" t="s">
        <v>230</v>
      </c>
      <c r="E48" s="264"/>
      <c r="F48" s="264">
        <v>9</v>
      </c>
      <c r="G48" s="545">
        <f t="shared" si="27"/>
        <v>240000</v>
      </c>
      <c r="H48" s="545"/>
      <c r="I48" s="10">
        <f>40000*H7</f>
        <v>120000</v>
      </c>
      <c r="J48" s="546">
        <f t="shared" si="28"/>
        <v>360000</v>
      </c>
      <c r="K48" s="547"/>
      <c r="Y48" s="5"/>
      <c r="Z48" s="5"/>
      <c r="AA48" s="5"/>
      <c r="AB48" s="5"/>
      <c r="AC48" s="7"/>
      <c r="AD48" s="7"/>
      <c r="AE48" s="5"/>
      <c r="AF48" s="5"/>
      <c r="AG48" s="5"/>
      <c r="AH48" s="6"/>
      <c r="AI48" s="6"/>
      <c r="AJ48" s="6"/>
    </row>
    <row r="49" spans="1:36" ht="14.25">
      <c r="A49" s="314">
        <v>6</v>
      </c>
      <c r="B49" s="264" t="s">
        <v>228</v>
      </c>
      <c r="C49" s="264"/>
      <c r="D49" s="264" t="s">
        <v>231</v>
      </c>
      <c r="E49" s="264"/>
      <c r="F49" s="264">
        <v>2</v>
      </c>
      <c r="G49" s="545">
        <f t="shared" si="27"/>
        <v>240000</v>
      </c>
      <c r="H49" s="545"/>
      <c r="I49" s="10" t="e">
        <f>40000*#REF!</f>
        <v>#REF!</v>
      </c>
      <c r="J49" s="546" t="e">
        <f t="shared" si="28"/>
        <v>#REF!</v>
      </c>
      <c r="K49" s="547"/>
      <c r="Y49" s="5"/>
      <c r="Z49" s="5"/>
      <c r="AA49" s="5"/>
      <c r="AB49" s="5"/>
      <c r="AC49" s="7"/>
      <c r="AD49" s="7"/>
      <c r="AE49" s="5"/>
      <c r="AF49" s="5"/>
      <c r="AG49" s="5"/>
      <c r="AH49" s="6"/>
      <c r="AI49" s="6"/>
      <c r="AJ49" s="6"/>
    </row>
    <row r="50" spans="1:36" ht="14.25">
      <c r="A50" s="314">
        <v>7</v>
      </c>
      <c r="B50" s="264" t="s">
        <v>228</v>
      </c>
      <c r="C50" s="315"/>
      <c r="D50" s="315" t="s">
        <v>254</v>
      </c>
      <c r="E50" s="315"/>
      <c r="F50" s="264">
        <v>1</v>
      </c>
      <c r="G50" s="545">
        <f t="shared" si="27"/>
        <v>240000</v>
      </c>
      <c r="H50" s="545"/>
      <c r="I50" s="10">
        <f>40000*H11</f>
        <v>240000</v>
      </c>
      <c r="J50" s="546">
        <f t="shared" si="28"/>
        <v>480000</v>
      </c>
      <c r="K50" s="547"/>
      <c r="Y50" s="35"/>
      <c r="Z50" s="35"/>
      <c r="AA50" s="35"/>
      <c r="AB50" s="35"/>
      <c r="AC50" s="244"/>
      <c r="AD50" s="244"/>
      <c r="AE50" s="244"/>
      <c r="AF50" s="244"/>
      <c r="AG50" s="244"/>
      <c r="AH50" s="244"/>
      <c r="AI50" s="244"/>
      <c r="AJ50" s="244"/>
    </row>
    <row r="51" spans="1:36" ht="14.25">
      <c r="A51" s="314">
        <v>8</v>
      </c>
      <c r="B51" s="247" t="s">
        <v>228</v>
      </c>
      <c r="C51" s="247"/>
      <c r="D51" s="316"/>
      <c r="E51" s="317"/>
      <c r="F51" s="248"/>
      <c r="G51" s="545">
        <f t="shared" si="27"/>
        <v>240000</v>
      </c>
      <c r="H51" s="545"/>
      <c r="I51" s="10" t="e">
        <f>40000*#REF!</f>
        <v>#REF!</v>
      </c>
      <c r="J51" s="546" t="e">
        <f t="shared" si="28"/>
        <v>#REF!</v>
      </c>
      <c r="K51" s="547"/>
      <c r="Y51" s="35"/>
      <c r="Z51" s="35"/>
      <c r="AA51" s="35"/>
      <c r="AB51" s="35"/>
      <c r="AC51" s="244"/>
      <c r="AD51" s="244"/>
      <c r="AE51" s="244"/>
      <c r="AF51" s="244"/>
      <c r="AG51" s="244"/>
      <c r="AH51" s="244"/>
      <c r="AI51" s="244"/>
      <c r="AJ51" s="244"/>
    </row>
    <row r="52" spans="1:36" ht="14.25">
      <c r="A52" s="314">
        <v>8</v>
      </c>
      <c r="B52" s="247" t="s">
        <v>228</v>
      </c>
      <c r="C52" s="247"/>
      <c r="D52" s="316"/>
      <c r="E52" s="317"/>
      <c r="F52" s="248"/>
      <c r="G52" s="545">
        <f t="shared" si="27"/>
        <v>240000</v>
      </c>
      <c r="H52" s="545"/>
      <c r="I52" s="10" t="e">
        <f>40000*#REF!</f>
        <v>#REF!</v>
      </c>
      <c r="J52" s="546" t="e">
        <f t="shared" si="28"/>
        <v>#REF!</v>
      </c>
      <c r="K52" s="547"/>
      <c r="Y52" s="35"/>
      <c r="Z52" s="35"/>
      <c r="AA52" s="35"/>
      <c r="AB52" s="35"/>
      <c r="AC52" s="244"/>
      <c r="AD52" s="244"/>
      <c r="AE52" s="244"/>
      <c r="AF52" s="244"/>
      <c r="AG52" s="244"/>
      <c r="AH52" s="244"/>
      <c r="AI52" s="244"/>
      <c r="AJ52" s="244"/>
    </row>
    <row r="53" spans="1:36" ht="14.25">
      <c r="A53" s="314">
        <v>8</v>
      </c>
      <c r="B53" s="247" t="s">
        <v>228</v>
      </c>
      <c r="C53" s="247"/>
      <c r="D53" s="316"/>
      <c r="E53" s="317"/>
      <c r="F53" s="248"/>
      <c r="G53" s="545">
        <f>80000*2</f>
        <v>160000</v>
      </c>
      <c r="H53" s="545"/>
      <c r="I53" s="10" t="e">
        <f>40000*#REF!</f>
        <v>#REF!</v>
      </c>
      <c r="J53" s="546" t="e">
        <f t="shared" si="28"/>
        <v>#REF!</v>
      </c>
      <c r="K53" s="547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</row>
    <row r="54" spans="1:36" ht="14.25">
      <c r="A54" s="314">
        <v>8</v>
      </c>
      <c r="B54" s="247" t="s">
        <v>228</v>
      </c>
      <c r="C54" s="247"/>
      <c r="D54" s="316"/>
      <c r="E54" s="317"/>
      <c r="F54" s="248"/>
      <c r="G54" s="545">
        <f>80000*2</f>
        <v>160000</v>
      </c>
      <c r="H54" s="545"/>
      <c r="I54" s="10" t="e">
        <f>40000*#REF!</f>
        <v>#REF!</v>
      </c>
      <c r="J54" s="546" t="e">
        <f t="shared" si="28"/>
        <v>#REF!</v>
      </c>
      <c r="K54" s="547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</row>
    <row r="55" spans="1:36" ht="14.25">
      <c r="A55" s="314">
        <v>9</v>
      </c>
      <c r="B55" s="247" t="s">
        <v>228</v>
      </c>
      <c r="C55" s="247"/>
      <c r="D55" s="316"/>
      <c r="E55" s="317"/>
      <c r="F55" s="248"/>
      <c r="G55" s="545">
        <f>80000*1</f>
        <v>80000</v>
      </c>
      <c r="H55" s="545"/>
      <c r="I55" s="10" t="e">
        <f>40000*#REF!</f>
        <v>#REF!</v>
      </c>
      <c r="J55" s="546" t="e">
        <f t="shared" si="28"/>
        <v>#REF!</v>
      </c>
      <c r="K55" s="547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</row>
    <row r="56" spans="1:36" ht="14.25">
      <c r="A56" s="314">
        <v>8</v>
      </c>
      <c r="B56" s="264" t="s">
        <v>239</v>
      </c>
      <c r="C56" s="318"/>
      <c r="D56" s="318" t="s">
        <v>241</v>
      </c>
      <c r="E56" s="318"/>
      <c r="F56" s="264">
        <v>1</v>
      </c>
      <c r="G56" s="532">
        <f t="shared" si="27"/>
        <v>240000</v>
      </c>
      <c r="H56" s="533"/>
      <c r="I56" s="265"/>
      <c r="J56" s="534">
        <f t="shared" si="28"/>
        <v>240000</v>
      </c>
      <c r="K56" s="535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</row>
    <row r="57" spans="1:36" ht="15" thickBot="1">
      <c r="A57" s="314">
        <v>9</v>
      </c>
      <c r="B57" s="264" t="s">
        <v>243</v>
      </c>
      <c r="C57" s="264"/>
      <c r="D57" s="264" t="s">
        <v>244</v>
      </c>
      <c r="E57" s="264"/>
      <c r="F57" s="264">
        <v>3</v>
      </c>
      <c r="G57" s="319">
        <f t="shared" si="27"/>
        <v>240000</v>
      </c>
      <c r="H57" s="26"/>
      <c r="I57" s="265"/>
      <c r="J57" s="320">
        <f t="shared" si="28"/>
        <v>240000</v>
      </c>
      <c r="K57" s="321"/>
      <c r="Y57" s="322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</row>
    <row r="58" spans="1:11" ht="14.25">
      <c r="A58" s="314">
        <v>10</v>
      </c>
      <c r="B58" s="264" t="s">
        <v>255</v>
      </c>
      <c r="C58" s="264"/>
      <c r="D58" s="264" t="s">
        <v>256</v>
      </c>
      <c r="E58" s="264"/>
      <c r="F58" s="264">
        <v>1</v>
      </c>
      <c r="G58" s="10">
        <f t="shared" si="27"/>
        <v>240000</v>
      </c>
      <c r="H58" s="10"/>
      <c r="I58" s="265">
        <f>40000*H35</f>
        <v>360000</v>
      </c>
      <c r="J58" s="323">
        <f t="shared" si="28"/>
        <v>600000</v>
      </c>
      <c r="K58" s="324"/>
    </row>
    <row r="59" spans="1:11" ht="14.25">
      <c r="A59" s="314">
        <v>11</v>
      </c>
      <c r="B59" s="264" t="s">
        <v>257</v>
      </c>
      <c r="C59" s="264"/>
      <c r="D59" s="264" t="s">
        <v>258</v>
      </c>
      <c r="E59" s="264"/>
      <c r="F59" s="264">
        <v>3</v>
      </c>
      <c r="G59" s="10">
        <f t="shared" si="27"/>
        <v>240000</v>
      </c>
      <c r="H59" s="10"/>
      <c r="I59" s="265" t="e">
        <f>40000*#REF!</f>
        <v>#REF!</v>
      </c>
      <c r="J59" s="323" t="e">
        <f t="shared" si="28"/>
        <v>#REF!</v>
      </c>
      <c r="K59" s="324"/>
    </row>
    <row r="60" spans="1:11" ht="15" thickBot="1">
      <c r="A60" s="249" t="s">
        <v>252</v>
      </c>
      <c r="B60" s="250"/>
      <c r="C60" s="250"/>
      <c r="D60" s="31"/>
      <c r="E60" s="31"/>
      <c r="F60" s="31"/>
      <c r="G60" s="325">
        <f>SUM(G43:G59)</f>
        <v>89714000</v>
      </c>
      <c r="H60" s="325"/>
      <c r="I60" s="34" t="e">
        <f>SUM(I43:I59)</f>
        <v>#REF!</v>
      </c>
      <c r="J60" s="326" t="e">
        <f t="shared" si="28"/>
        <v>#REF!</v>
      </c>
      <c r="K60" s="327"/>
    </row>
    <row r="61" spans="1:34" ht="14.25">
      <c r="A61" s="328"/>
      <c r="B61" s="328"/>
      <c r="C61" s="328"/>
      <c r="D61" s="329"/>
      <c r="E61" s="329"/>
      <c r="F61" s="329"/>
      <c r="G61" s="330"/>
      <c r="H61" s="330"/>
      <c r="I61" s="331"/>
      <c r="J61" s="332"/>
      <c r="K61" s="332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</row>
    <row r="62" spans="1:34" ht="14.25">
      <c r="A62" t="s">
        <v>259</v>
      </c>
      <c r="B62" t="s">
        <v>260</v>
      </c>
      <c r="D62" t="s">
        <v>261</v>
      </c>
      <c r="F62" t="s">
        <v>262</v>
      </c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</row>
    <row r="63" spans="7:34" ht="14.25"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</row>
    <row r="64" spans="7:34" ht="14.25"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</row>
    <row r="65" spans="1:34" ht="14.25">
      <c r="A65" s="263">
        <v>1</v>
      </c>
      <c r="B65" s="263" t="s">
        <v>263</v>
      </c>
      <c r="C65" s="263"/>
      <c r="D65" s="263" t="s">
        <v>264</v>
      </c>
      <c r="E65" s="263"/>
      <c r="F65" s="263">
        <v>9</v>
      </c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</row>
    <row r="66" spans="1:34" ht="14.25">
      <c r="A66" s="263">
        <v>2</v>
      </c>
      <c r="B66" s="263" t="s">
        <v>265</v>
      </c>
      <c r="C66" s="263"/>
      <c r="D66" s="263" t="s">
        <v>266</v>
      </c>
      <c r="E66" s="263"/>
      <c r="F66" s="263">
        <v>14</v>
      </c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</row>
    <row r="67" spans="1:34" ht="14.25">
      <c r="A67" s="263">
        <v>3</v>
      </c>
      <c r="B67" s="263" t="s">
        <v>267</v>
      </c>
      <c r="C67" s="263"/>
      <c r="D67" s="263" t="s">
        <v>268</v>
      </c>
      <c r="E67" s="263"/>
      <c r="F67" s="263">
        <v>7</v>
      </c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</row>
    <row r="68" spans="1:34" ht="14.25">
      <c r="A68" s="263">
        <v>4</v>
      </c>
      <c r="B68" s="263" t="s">
        <v>269</v>
      </c>
      <c r="C68" s="263"/>
      <c r="D68" s="263" t="s">
        <v>270</v>
      </c>
      <c r="E68" s="263"/>
      <c r="F68" s="263">
        <v>3</v>
      </c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</row>
    <row r="69" spans="1:34" ht="14.25">
      <c r="A69" s="263">
        <v>5</v>
      </c>
      <c r="B69" s="263" t="s">
        <v>269</v>
      </c>
      <c r="C69" s="263"/>
      <c r="D69" s="263" t="s">
        <v>271</v>
      </c>
      <c r="E69" s="263"/>
      <c r="F69" s="263">
        <v>10</v>
      </c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</row>
    <row r="70" spans="1:34" ht="14.25">
      <c r="A70" s="263">
        <v>6</v>
      </c>
      <c r="B70" s="263" t="s">
        <v>269</v>
      </c>
      <c r="C70" s="263"/>
      <c r="D70" s="263" t="s">
        <v>272</v>
      </c>
      <c r="E70" s="263"/>
      <c r="F70" s="263">
        <v>3</v>
      </c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</row>
    <row r="71" spans="1:34" ht="14.25">
      <c r="A71" s="263">
        <v>7</v>
      </c>
      <c r="B71" s="263" t="s">
        <v>269</v>
      </c>
      <c r="C71" s="263"/>
      <c r="D71" s="263" t="s">
        <v>273</v>
      </c>
      <c r="E71" s="263"/>
      <c r="F71" s="263">
        <v>3</v>
      </c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</row>
    <row r="72" spans="1:34" ht="14.25">
      <c r="A72" s="263">
        <v>8</v>
      </c>
      <c r="B72" s="263" t="s">
        <v>269</v>
      </c>
      <c r="C72" s="263"/>
      <c r="D72" s="263" t="s">
        <v>274</v>
      </c>
      <c r="E72" s="263"/>
      <c r="F72" s="263">
        <v>3</v>
      </c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</row>
    <row r="73" spans="1:34" ht="14.25">
      <c r="A73" s="263">
        <v>9</v>
      </c>
      <c r="B73" s="263" t="s">
        <v>269</v>
      </c>
      <c r="C73" s="263"/>
      <c r="D73" s="263" t="s">
        <v>275</v>
      </c>
      <c r="E73" s="263"/>
      <c r="F73" s="263">
        <v>4</v>
      </c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</row>
    <row r="74" spans="1:34" ht="14.25">
      <c r="A74" s="263">
        <v>10</v>
      </c>
      <c r="B74" s="263" t="s">
        <v>269</v>
      </c>
      <c r="C74" s="263"/>
      <c r="D74" s="263" t="s">
        <v>276</v>
      </c>
      <c r="E74" s="263"/>
      <c r="F74" s="263">
        <v>1</v>
      </c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</row>
    <row r="75" spans="1:34" ht="14.25">
      <c r="A75" s="263">
        <v>11</v>
      </c>
      <c r="B75" s="263" t="s">
        <v>269</v>
      </c>
      <c r="C75" s="263"/>
      <c r="D75" s="263" t="s">
        <v>277</v>
      </c>
      <c r="E75" s="263"/>
      <c r="F75" s="263">
        <v>3</v>
      </c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  <c r="AG75" s="335"/>
      <c r="AH75" s="335"/>
    </row>
    <row r="76" spans="1:34" ht="14.25">
      <c r="A76" s="263"/>
      <c r="B76" s="263" t="s">
        <v>269</v>
      </c>
      <c r="C76" s="263"/>
      <c r="D76" s="263" t="s">
        <v>278</v>
      </c>
      <c r="E76" s="263"/>
      <c r="F76" s="263">
        <v>5</v>
      </c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</row>
    <row r="77" spans="1:34" ht="14.25">
      <c r="A77" s="263">
        <v>12</v>
      </c>
      <c r="B77" s="263" t="s">
        <v>279</v>
      </c>
      <c r="C77" s="263"/>
      <c r="D77" s="263" t="s">
        <v>280</v>
      </c>
      <c r="E77" s="263"/>
      <c r="F77" s="263">
        <v>1</v>
      </c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</row>
    <row r="78" spans="1:34" ht="14.25">
      <c r="A78" s="263">
        <v>13</v>
      </c>
      <c r="B78" s="263" t="s">
        <v>279</v>
      </c>
      <c r="C78" s="263"/>
      <c r="D78" s="263" t="s">
        <v>281</v>
      </c>
      <c r="E78" s="263"/>
      <c r="F78" s="263">
        <v>1</v>
      </c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</row>
    <row r="79" spans="1:34" ht="14.25">
      <c r="A79" s="263"/>
      <c r="B79" s="263" t="s">
        <v>282</v>
      </c>
      <c r="C79" s="263"/>
      <c r="D79" s="263" t="s">
        <v>283</v>
      </c>
      <c r="E79" s="263"/>
      <c r="F79" s="263">
        <v>1</v>
      </c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</row>
    <row r="80" spans="1:34" ht="14.25">
      <c r="A80" s="263">
        <v>14</v>
      </c>
      <c r="B80" s="263" t="s">
        <v>284</v>
      </c>
      <c r="C80" s="263"/>
      <c r="D80" s="263" t="s">
        <v>285</v>
      </c>
      <c r="E80" s="263"/>
      <c r="F80" s="263">
        <v>4</v>
      </c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</row>
    <row r="81" spans="1:34" ht="14.25">
      <c r="A81" s="263">
        <v>15</v>
      </c>
      <c r="B81" s="263" t="s">
        <v>286</v>
      </c>
      <c r="C81" s="263"/>
      <c r="D81" s="263" t="s">
        <v>287</v>
      </c>
      <c r="E81" s="263"/>
      <c r="F81" s="263">
        <v>1</v>
      </c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</row>
    <row r="82" spans="1:34" ht="14.25">
      <c r="A82" s="263">
        <v>16</v>
      </c>
      <c r="B82" s="263" t="s">
        <v>288</v>
      </c>
      <c r="C82" s="263"/>
      <c r="D82" s="263" t="s">
        <v>289</v>
      </c>
      <c r="E82" s="263"/>
      <c r="F82" s="263">
        <v>5</v>
      </c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</row>
    <row r="83" spans="1:34" ht="14.25">
      <c r="A83" s="263">
        <v>17</v>
      </c>
      <c r="B83" s="263" t="s">
        <v>290</v>
      </c>
      <c r="C83" s="263"/>
      <c r="D83" s="263" t="s">
        <v>291</v>
      </c>
      <c r="E83" s="263"/>
      <c r="F83" s="263">
        <v>5</v>
      </c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</row>
    <row r="84" spans="1:34" ht="15" thickBot="1">
      <c r="A84" s="233" t="s">
        <v>292</v>
      </c>
      <c r="B84" s="233"/>
      <c r="C84" s="233"/>
      <c r="D84" s="233"/>
      <c r="E84" s="233"/>
      <c r="F84" s="233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</row>
    <row r="85" spans="1:34" ht="14.25">
      <c r="A85" s="337">
        <v>1</v>
      </c>
      <c r="B85" s="338" t="s">
        <v>263</v>
      </c>
      <c r="C85" s="338"/>
      <c r="D85" s="338" t="s">
        <v>264</v>
      </c>
      <c r="E85" s="338"/>
      <c r="F85" s="338">
        <v>9</v>
      </c>
      <c r="G85" s="339"/>
      <c r="H85" s="339"/>
      <c r="I85" s="340"/>
      <c r="J85" s="339"/>
      <c r="K85" s="339"/>
      <c r="L85" s="339"/>
      <c r="M85" s="339"/>
      <c r="N85" s="340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40"/>
      <c r="AG85" s="340"/>
      <c r="AH85" s="341"/>
    </row>
    <row r="86" spans="1:34" ht="14.25">
      <c r="A86" s="342">
        <v>2</v>
      </c>
      <c r="B86" s="263" t="s">
        <v>265</v>
      </c>
      <c r="C86" s="263"/>
      <c r="D86" s="263" t="s">
        <v>266</v>
      </c>
      <c r="E86" s="263"/>
      <c r="F86" s="263">
        <v>14</v>
      </c>
      <c r="G86" s="335"/>
      <c r="H86" s="335"/>
      <c r="I86" s="343"/>
      <c r="J86" s="335"/>
      <c r="K86" s="335"/>
      <c r="L86" s="335"/>
      <c r="M86" s="335"/>
      <c r="N86" s="343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43"/>
      <c r="AG86" s="343"/>
      <c r="AH86" s="344"/>
    </row>
    <row r="87" spans="1:34" ht="14.25">
      <c r="A87" s="342">
        <v>3</v>
      </c>
      <c r="B87" s="263" t="s">
        <v>267</v>
      </c>
      <c r="C87" s="263"/>
      <c r="D87" s="263" t="s">
        <v>268</v>
      </c>
      <c r="E87" s="263"/>
      <c r="F87" s="263">
        <v>7</v>
      </c>
      <c r="G87" s="335"/>
      <c r="H87" s="335"/>
      <c r="I87" s="343"/>
      <c r="J87" s="335"/>
      <c r="K87" s="335"/>
      <c r="L87" s="335"/>
      <c r="M87" s="335"/>
      <c r="N87" s="343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43"/>
      <c r="AG87" s="343"/>
      <c r="AH87" s="344"/>
    </row>
    <row r="88" spans="1:34" ht="14.25">
      <c r="A88" s="342">
        <v>4</v>
      </c>
      <c r="B88" s="263" t="s">
        <v>269</v>
      </c>
      <c r="C88" s="263"/>
      <c r="D88" s="263" t="s">
        <v>270</v>
      </c>
      <c r="E88" s="263"/>
      <c r="F88" s="263">
        <v>3</v>
      </c>
      <c r="G88" s="335"/>
      <c r="H88" s="335"/>
      <c r="I88" s="343"/>
      <c r="J88" s="335"/>
      <c r="K88" s="335"/>
      <c r="L88" s="335"/>
      <c r="M88" s="335"/>
      <c r="N88" s="343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E88" s="335"/>
      <c r="AF88" s="343"/>
      <c r="AG88" s="343"/>
      <c r="AH88" s="344"/>
    </row>
    <row r="89" spans="1:34" ht="14.25">
      <c r="A89" s="342">
        <v>5</v>
      </c>
      <c r="B89" s="263" t="s">
        <v>269</v>
      </c>
      <c r="C89" s="263"/>
      <c r="D89" s="263" t="s">
        <v>271</v>
      </c>
      <c r="E89" s="263"/>
      <c r="F89" s="263">
        <v>10</v>
      </c>
      <c r="G89" s="335"/>
      <c r="H89" s="335"/>
      <c r="I89" s="343"/>
      <c r="J89" s="335"/>
      <c r="K89" s="335"/>
      <c r="L89" s="335"/>
      <c r="M89" s="335"/>
      <c r="N89" s="343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43"/>
      <c r="AG89" s="343"/>
      <c r="AH89" s="344"/>
    </row>
    <row r="90" spans="1:34" ht="14.25">
      <c r="A90" s="342">
        <v>6</v>
      </c>
      <c r="B90" s="263" t="s">
        <v>269</v>
      </c>
      <c r="C90" s="263"/>
      <c r="D90" s="263" t="s">
        <v>272</v>
      </c>
      <c r="E90" s="263"/>
      <c r="F90" s="263">
        <v>3</v>
      </c>
      <c r="G90" s="335"/>
      <c r="H90" s="335"/>
      <c r="I90" s="343"/>
      <c r="J90" s="335"/>
      <c r="K90" s="335"/>
      <c r="L90" s="335"/>
      <c r="M90" s="335"/>
      <c r="N90" s="343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43"/>
      <c r="AG90" s="343"/>
      <c r="AH90" s="344"/>
    </row>
    <row r="91" spans="1:34" ht="14.25">
      <c r="A91" s="342">
        <v>7</v>
      </c>
      <c r="B91" s="263" t="s">
        <v>269</v>
      </c>
      <c r="C91" s="263"/>
      <c r="D91" s="263" t="s">
        <v>273</v>
      </c>
      <c r="E91" s="263"/>
      <c r="F91" s="263">
        <v>3</v>
      </c>
      <c r="G91" s="335"/>
      <c r="H91" s="335"/>
      <c r="I91" s="343"/>
      <c r="J91" s="335"/>
      <c r="K91" s="335"/>
      <c r="L91" s="335"/>
      <c r="M91" s="335"/>
      <c r="N91" s="343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43"/>
      <c r="AG91" s="343"/>
      <c r="AH91" s="344"/>
    </row>
    <row r="92" spans="1:34" ht="14.25">
      <c r="A92" s="342">
        <v>8</v>
      </c>
      <c r="B92" s="263" t="s">
        <v>269</v>
      </c>
      <c r="C92" s="263"/>
      <c r="D92" s="263" t="s">
        <v>274</v>
      </c>
      <c r="E92" s="263"/>
      <c r="F92" s="263">
        <v>3</v>
      </c>
      <c r="G92" s="335"/>
      <c r="H92" s="335"/>
      <c r="I92" s="343"/>
      <c r="J92" s="335"/>
      <c r="K92" s="335"/>
      <c r="L92" s="335"/>
      <c r="M92" s="335"/>
      <c r="N92" s="343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43"/>
      <c r="AG92" s="343"/>
      <c r="AH92" s="344"/>
    </row>
    <row r="93" spans="1:34" ht="14.25">
      <c r="A93" s="342">
        <v>9</v>
      </c>
      <c r="B93" s="263" t="s">
        <v>269</v>
      </c>
      <c r="C93" s="263"/>
      <c r="D93" s="263" t="s">
        <v>275</v>
      </c>
      <c r="E93" s="263"/>
      <c r="F93" s="263">
        <v>4</v>
      </c>
      <c r="G93" s="335"/>
      <c r="H93" s="335"/>
      <c r="I93" s="343"/>
      <c r="J93" s="335"/>
      <c r="K93" s="335"/>
      <c r="L93" s="335"/>
      <c r="M93" s="335"/>
      <c r="N93" s="343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E93" s="335"/>
      <c r="AF93" s="343"/>
      <c r="AG93" s="343"/>
      <c r="AH93" s="344"/>
    </row>
    <row r="94" spans="1:34" ht="14.25">
      <c r="A94" s="342">
        <v>10</v>
      </c>
      <c r="B94" s="263" t="s">
        <v>269</v>
      </c>
      <c r="C94" s="263"/>
      <c r="D94" s="263" t="s">
        <v>276</v>
      </c>
      <c r="E94" s="263"/>
      <c r="F94" s="263">
        <v>1</v>
      </c>
      <c r="G94" s="335"/>
      <c r="H94" s="335"/>
      <c r="I94" s="343"/>
      <c r="J94" s="335"/>
      <c r="K94" s="335"/>
      <c r="L94" s="335"/>
      <c r="M94" s="335"/>
      <c r="N94" s="343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43"/>
      <c r="AG94" s="343"/>
      <c r="AH94" s="344"/>
    </row>
    <row r="95" spans="1:34" ht="14.25">
      <c r="A95" s="342">
        <v>11</v>
      </c>
      <c r="B95" s="263" t="s">
        <v>269</v>
      </c>
      <c r="C95" s="263"/>
      <c r="D95" s="263" t="s">
        <v>277</v>
      </c>
      <c r="E95" s="263"/>
      <c r="F95" s="263">
        <v>3</v>
      </c>
      <c r="G95" s="335"/>
      <c r="H95" s="335"/>
      <c r="I95" s="343"/>
      <c r="J95" s="335"/>
      <c r="K95" s="335"/>
      <c r="L95" s="335"/>
      <c r="M95" s="335"/>
      <c r="N95" s="343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43"/>
      <c r="AG95" s="343"/>
      <c r="AH95" s="344"/>
    </row>
    <row r="96" spans="1:34" ht="14.25">
      <c r="A96" s="342">
        <v>12</v>
      </c>
      <c r="B96" s="263" t="s">
        <v>269</v>
      </c>
      <c r="C96" s="263"/>
      <c r="D96" s="263" t="s">
        <v>234</v>
      </c>
      <c r="E96" s="263"/>
      <c r="F96" s="263">
        <v>1</v>
      </c>
      <c r="G96" s="335"/>
      <c r="H96" s="335"/>
      <c r="I96" s="343"/>
      <c r="J96" s="335"/>
      <c r="K96" s="335"/>
      <c r="L96" s="335"/>
      <c r="M96" s="335"/>
      <c r="N96" s="343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43"/>
      <c r="AG96" s="343"/>
      <c r="AH96" s="344"/>
    </row>
    <row r="97" spans="1:34" ht="14.25">
      <c r="A97" s="342">
        <v>13</v>
      </c>
      <c r="B97" s="263" t="s">
        <v>269</v>
      </c>
      <c r="C97" s="263"/>
      <c r="D97" s="263" t="s">
        <v>235</v>
      </c>
      <c r="E97" s="263"/>
      <c r="F97" s="263">
        <v>4</v>
      </c>
      <c r="G97" s="335"/>
      <c r="H97" s="335"/>
      <c r="I97" s="343"/>
      <c r="J97" s="335"/>
      <c r="K97" s="335"/>
      <c r="L97" s="335"/>
      <c r="M97" s="335"/>
      <c r="N97" s="343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43"/>
      <c r="AG97" s="343"/>
      <c r="AH97" s="344"/>
    </row>
    <row r="98" spans="1:34" ht="14.25">
      <c r="A98" s="342">
        <v>14</v>
      </c>
      <c r="B98" s="263" t="s">
        <v>269</v>
      </c>
      <c r="C98" s="263"/>
      <c r="D98" s="263" t="s">
        <v>278</v>
      </c>
      <c r="E98" s="263"/>
      <c r="F98" s="263">
        <v>5</v>
      </c>
      <c r="G98" s="335"/>
      <c r="H98" s="335"/>
      <c r="I98" s="343"/>
      <c r="J98" s="335"/>
      <c r="K98" s="335"/>
      <c r="L98" s="335"/>
      <c r="M98" s="335"/>
      <c r="N98" s="343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43"/>
      <c r="AG98" s="343"/>
      <c r="AH98" s="344"/>
    </row>
    <row r="99" spans="1:34" ht="14.25">
      <c r="A99" s="342">
        <v>15</v>
      </c>
      <c r="B99" s="263" t="s">
        <v>279</v>
      </c>
      <c r="C99" s="263"/>
      <c r="D99" s="263" t="s">
        <v>280</v>
      </c>
      <c r="E99" s="263"/>
      <c r="F99" s="263">
        <v>1</v>
      </c>
      <c r="G99" s="335"/>
      <c r="H99" s="335"/>
      <c r="I99" s="343"/>
      <c r="J99" s="335"/>
      <c r="K99" s="335"/>
      <c r="L99" s="335"/>
      <c r="M99" s="335"/>
      <c r="N99" s="343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43"/>
      <c r="AG99" s="343"/>
      <c r="AH99" s="344"/>
    </row>
    <row r="100" spans="1:34" ht="14.25">
      <c r="A100" s="342">
        <v>16</v>
      </c>
      <c r="B100" s="263" t="s">
        <v>279</v>
      </c>
      <c r="C100" s="263"/>
      <c r="D100" s="263" t="s">
        <v>281</v>
      </c>
      <c r="E100" s="263"/>
      <c r="F100" s="263">
        <v>1</v>
      </c>
      <c r="G100" s="335"/>
      <c r="H100" s="335"/>
      <c r="I100" s="343"/>
      <c r="J100" s="335"/>
      <c r="K100" s="335"/>
      <c r="L100" s="335"/>
      <c r="M100" s="335"/>
      <c r="N100" s="343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335"/>
      <c r="AE100" s="335"/>
      <c r="AF100" s="343"/>
      <c r="AG100" s="343"/>
      <c r="AH100" s="344"/>
    </row>
    <row r="101" spans="1:34" ht="14.25">
      <c r="A101" s="342">
        <v>17</v>
      </c>
      <c r="B101" s="263" t="s">
        <v>282</v>
      </c>
      <c r="C101" s="263"/>
      <c r="D101" s="263" t="s">
        <v>283</v>
      </c>
      <c r="E101" s="263"/>
      <c r="F101" s="263">
        <v>1</v>
      </c>
      <c r="G101" s="335"/>
      <c r="H101" s="335"/>
      <c r="I101" s="343"/>
      <c r="J101" s="335"/>
      <c r="K101" s="335"/>
      <c r="L101" s="335"/>
      <c r="M101" s="335"/>
      <c r="N101" s="343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  <c r="AA101" s="335"/>
      <c r="AB101" s="335"/>
      <c r="AC101" s="335"/>
      <c r="AD101" s="335"/>
      <c r="AE101" s="335"/>
      <c r="AF101" s="343"/>
      <c r="AG101" s="343"/>
      <c r="AH101" s="344"/>
    </row>
    <row r="102" spans="1:34" ht="14.25">
      <c r="A102" s="342">
        <v>18</v>
      </c>
      <c r="B102" s="263" t="s">
        <v>284</v>
      </c>
      <c r="C102" s="263"/>
      <c r="D102" s="263" t="s">
        <v>285</v>
      </c>
      <c r="E102" s="263"/>
      <c r="F102" s="263">
        <v>4</v>
      </c>
      <c r="G102" s="335"/>
      <c r="H102" s="335"/>
      <c r="I102" s="343"/>
      <c r="J102" s="335"/>
      <c r="K102" s="335"/>
      <c r="L102" s="335"/>
      <c r="M102" s="335"/>
      <c r="N102" s="343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43"/>
      <c r="AG102" s="343"/>
      <c r="AH102" s="344"/>
    </row>
    <row r="103" spans="1:34" ht="14.25">
      <c r="A103" s="342">
        <v>19</v>
      </c>
      <c r="B103" s="263" t="s">
        <v>286</v>
      </c>
      <c r="C103" s="263"/>
      <c r="D103" s="263" t="s">
        <v>287</v>
      </c>
      <c r="E103" s="263"/>
      <c r="F103" s="263">
        <v>1</v>
      </c>
      <c r="G103" s="335"/>
      <c r="H103" s="335"/>
      <c r="I103" s="343"/>
      <c r="J103" s="335"/>
      <c r="K103" s="335"/>
      <c r="L103" s="335"/>
      <c r="M103" s="335"/>
      <c r="N103" s="343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43"/>
      <c r="AG103" s="343"/>
      <c r="AH103" s="344"/>
    </row>
    <row r="104" spans="1:34" ht="14.25">
      <c r="A104" s="342">
        <v>20</v>
      </c>
      <c r="B104" s="263" t="s">
        <v>288</v>
      </c>
      <c r="C104" s="263"/>
      <c r="D104" s="263" t="s">
        <v>289</v>
      </c>
      <c r="E104" s="263"/>
      <c r="F104" s="263">
        <v>5</v>
      </c>
      <c r="G104" s="335"/>
      <c r="H104" s="335"/>
      <c r="I104" s="343"/>
      <c r="J104" s="335"/>
      <c r="K104" s="335"/>
      <c r="L104" s="335"/>
      <c r="M104" s="335"/>
      <c r="N104" s="343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43"/>
      <c r="AG104" s="343"/>
      <c r="AH104" s="344"/>
    </row>
    <row r="105" spans="1:34" ht="14.25">
      <c r="A105" s="342"/>
      <c r="B105" s="263" t="s">
        <v>257</v>
      </c>
      <c r="C105" s="263"/>
      <c r="D105" s="263" t="s">
        <v>258</v>
      </c>
      <c r="E105" s="263"/>
      <c r="F105" s="263">
        <v>5</v>
      </c>
      <c r="G105" s="335"/>
      <c r="H105" s="335"/>
      <c r="I105" s="343"/>
      <c r="J105" s="335"/>
      <c r="K105" s="335"/>
      <c r="L105" s="335"/>
      <c r="M105" s="335"/>
      <c r="N105" s="343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43"/>
      <c r="AG105" s="343"/>
      <c r="AH105" s="344"/>
    </row>
    <row r="106" spans="1:34" ht="14.25">
      <c r="A106" s="342">
        <v>21</v>
      </c>
      <c r="B106" s="263" t="s">
        <v>250</v>
      </c>
      <c r="C106" s="263"/>
      <c r="D106" s="263" t="s">
        <v>251</v>
      </c>
      <c r="E106" s="263"/>
      <c r="F106" s="263">
        <v>1</v>
      </c>
      <c r="G106" s="335"/>
      <c r="H106" s="335"/>
      <c r="I106" s="343"/>
      <c r="J106" s="335"/>
      <c r="K106" s="335"/>
      <c r="L106" s="335"/>
      <c r="M106" s="335"/>
      <c r="N106" s="343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E106" s="335"/>
      <c r="AF106" s="343"/>
      <c r="AG106" s="343"/>
      <c r="AH106" s="344"/>
    </row>
    <row r="107" spans="1:34" ht="15" thickBot="1">
      <c r="A107" s="243"/>
      <c r="B107" s="141"/>
      <c r="C107" s="141"/>
      <c r="D107" s="141"/>
      <c r="E107" s="141"/>
      <c r="F107" s="141"/>
      <c r="G107" s="345"/>
      <c r="H107" s="345"/>
      <c r="I107" s="346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7"/>
    </row>
    <row r="108" spans="7:34" ht="14.25">
      <c r="G108" s="241"/>
      <c r="H108" s="241"/>
      <c r="I108" s="241"/>
      <c r="J108" s="241"/>
      <c r="K108" s="241"/>
      <c r="L108" s="241">
        <v>1393130</v>
      </c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</row>
    <row r="109" spans="12:33" ht="14.25">
      <c r="L109">
        <v>1434830</v>
      </c>
      <c r="AF109" s="316" t="s">
        <v>223</v>
      </c>
      <c r="AG109">
        <v>140000</v>
      </c>
    </row>
    <row r="110" spans="12:33" ht="14.25">
      <c r="L110">
        <v>1054520</v>
      </c>
      <c r="AF110" s="264" t="s">
        <v>225</v>
      </c>
      <c r="AG110">
        <v>140000</v>
      </c>
    </row>
    <row r="111" spans="12:33" ht="14.25">
      <c r="L111">
        <v>1282100</v>
      </c>
      <c r="AF111" s="316" t="s">
        <v>227</v>
      </c>
      <c r="AG111">
        <v>140000</v>
      </c>
    </row>
    <row r="112" spans="12:33" ht="14.25">
      <c r="L112">
        <v>1580520</v>
      </c>
      <c r="AF112" s="264" t="s">
        <v>229</v>
      </c>
      <c r="AG112">
        <v>140000</v>
      </c>
    </row>
    <row r="113" spans="12:33" ht="14.25">
      <c r="L113">
        <v>1282100</v>
      </c>
      <c r="AF113" s="264" t="s">
        <v>230</v>
      </c>
      <c r="AG113">
        <v>140000</v>
      </c>
    </row>
    <row r="114" spans="12:33" ht="14.25">
      <c r="L114">
        <v>1282100</v>
      </c>
      <c r="AF114" s="264" t="s">
        <v>231</v>
      </c>
      <c r="AG114">
        <v>140000</v>
      </c>
    </row>
    <row r="115" spans="12:33" ht="14.25">
      <c r="L115">
        <v>1282100</v>
      </c>
      <c r="AF115" s="316" t="s">
        <v>232</v>
      </c>
      <c r="AG115">
        <v>140000</v>
      </c>
    </row>
    <row r="116" spans="12:33" ht="14.25">
      <c r="L116">
        <v>1282100</v>
      </c>
      <c r="AF116" s="316" t="s">
        <v>233</v>
      </c>
      <c r="AG116">
        <v>140000</v>
      </c>
    </row>
    <row r="117" spans="12:33" ht="14.25">
      <c r="L117">
        <v>1171570</v>
      </c>
      <c r="AF117" s="264" t="s">
        <v>293</v>
      </c>
      <c r="AG117">
        <v>140000</v>
      </c>
    </row>
    <row r="118" spans="12:33" ht="14.25">
      <c r="L118">
        <v>1319210</v>
      </c>
      <c r="AF118" s="264" t="s">
        <v>234</v>
      </c>
      <c r="AG118">
        <v>140000</v>
      </c>
    </row>
    <row r="119" spans="12:33" ht="14.25">
      <c r="L119">
        <v>1319210</v>
      </c>
      <c r="AF119" s="316" t="s">
        <v>235</v>
      </c>
      <c r="AG119">
        <v>140000</v>
      </c>
    </row>
    <row r="120" spans="12:33" ht="14.25">
      <c r="L120">
        <v>1319210</v>
      </c>
      <c r="AF120" s="264" t="s">
        <v>236</v>
      </c>
      <c r="AG120">
        <v>140000</v>
      </c>
    </row>
    <row r="121" spans="12:33" ht="14.25">
      <c r="L121">
        <v>1065780</v>
      </c>
      <c r="AF121" s="264" t="s">
        <v>294</v>
      </c>
      <c r="AG121">
        <v>140000</v>
      </c>
    </row>
    <row r="122" spans="12:33" ht="14.25">
      <c r="L122">
        <v>1065780</v>
      </c>
      <c r="AF122" s="264" t="s">
        <v>241</v>
      </c>
      <c r="AG122">
        <v>100000</v>
      </c>
    </row>
    <row r="123" spans="12:33" ht="14.25">
      <c r="L123">
        <v>725450</v>
      </c>
      <c r="AF123" s="316" t="s">
        <v>242</v>
      </c>
      <c r="AG123">
        <v>100000</v>
      </c>
    </row>
    <row r="124" spans="12:33" ht="14.25">
      <c r="L124">
        <v>745040</v>
      </c>
      <c r="AF124" s="264" t="s">
        <v>244</v>
      </c>
      <c r="AG124">
        <v>100000</v>
      </c>
    </row>
    <row r="125" spans="12:33" ht="14.25">
      <c r="L125">
        <v>923890</v>
      </c>
      <c r="AF125" s="264" t="s">
        <v>246</v>
      </c>
      <c r="AG125">
        <v>100000</v>
      </c>
    </row>
    <row r="126" spans="12:33" ht="14.25">
      <c r="L126">
        <v>796290</v>
      </c>
      <c r="AF126" s="264" t="s">
        <v>249</v>
      </c>
      <c r="AG126">
        <v>140000</v>
      </c>
    </row>
    <row r="127" spans="32:33" ht="14.25">
      <c r="AF127" s="264" t="s">
        <v>251</v>
      </c>
      <c r="AG127">
        <v>140000</v>
      </c>
    </row>
    <row r="128" spans="28:34" ht="18.75">
      <c r="AB128" s="84">
        <f>AB45/3</f>
        <v>1228043.3333333333</v>
      </c>
      <c r="AC128" s="84">
        <f>AC45/3</f>
        <v>2009546.6666666667</v>
      </c>
      <c r="AE128" s="84">
        <f>AE45/3</f>
        <v>1562976.6666666667</v>
      </c>
      <c r="AG128" s="348" t="s">
        <v>295</v>
      </c>
      <c r="AH128" s="349">
        <v>671880</v>
      </c>
    </row>
    <row r="129" spans="4:34" ht="18.75">
      <c r="D129" s="264" t="s">
        <v>223</v>
      </c>
      <c r="E129" s="264"/>
      <c r="F129" s="264">
        <v>10</v>
      </c>
      <c r="G129" s="269">
        <v>3913987.5</v>
      </c>
      <c r="AB129" s="84">
        <f>AB128+AC128</f>
        <v>3237590</v>
      </c>
      <c r="AF129" s="348">
        <v>12599940</v>
      </c>
      <c r="AG129" s="348" t="s">
        <v>296</v>
      </c>
      <c r="AH129" s="350">
        <f>AH45+AH128</f>
        <v>789715700</v>
      </c>
    </row>
    <row r="130" spans="4:32" ht="18.75">
      <c r="D130" s="291" t="s">
        <v>225</v>
      </c>
      <c r="E130" s="291"/>
      <c r="F130" s="291">
        <v>16</v>
      </c>
      <c r="G130" s="269">
        <v>3934499.1666666665</v>
      </c>
      <c r="AF130" s="348">
        <v>11928060</v>
      </c>
    </row>
    <row r="131" spans="4:32" ht="18.75">
      <c r="D131" s="264" t="s">
        <v>227</v>
      </c>
      <c r="E131" s="264"/>
      <c r="F131" s="264">
        <v>8</v>
      </c>
      <c r="G131" s="269">
        <v>2723992.5</v>
      </c>
      <c r="AF131" s="348">
        <f>AF129-AF130</f>
        <v>671880</v>
      </c>
    </row>
    <row r="132" spans="4:32" ht="14.25">
      <c r="D132" s="264" t="s">
        <v>229</v>
      </c>
      <c r="E132" s="264"/>
      <c r="F132" s="264">
        <v>4</v>
      </c>
      <c r="G132" s="269">
        <v>2538250.8333333335</v>
      </c>
      <c r="AF132">
        <f>SUM(AF129:AF131)</f>
        <v>25199880</v>
      </c>
    </row>
    <row r="133" spans="4:7" ht="14.25">
      <c r="D133" s="264" t="s">
        <v>230</v>
      </c>
      <c r="E133" s="264"/>
      <c r="F133" s="264">
        <v>11</v>
      </c>
      <c r="G133" s="269">
        <v>3180290.8333333335</v>
      </c>
    </row>
    <row r="134" spans="4:7" ht="14.25">
      <c r="D134" s="291" t="s">
        <v>231</v>
      </c>
      <c r="E134" s="291"/>
      <c r="F134" s="291">
        <v>5</v>
      </c>
      <c r="G134" s="269">
        <v>2503188.3333333335</v>
      </c>
    </row>
    <row r="135" spans="4:7" ht="14.25">
      <c r="D135" s="264" t="s">
        <v>232</v>
      </c>
      <c r="E135" s="264"/>
      <c r="F135" s="264">
        <v>4</v>
      </c>
      <c r="G135" s="269">
        <v>2479313.3333333335</v>
      </c>
    </row>
    <row r="136" spans="4:7" ht="14.25">
      <c r="D136" s="264" t="s">
        <v>233</v>
      </c>
      <c r="E136" s="264"/>
      <c r="F136" s="264">
        <v>4</v>
      </c>
      <c r="G136" s="269">
        <v>2487888.3333333335</v>
      </c>
    </row>
    <row r="137" spans="4:7" ht="14.25">
      <c r="D137" s="291" t="s">
        <v>234</v>
      </c>
      <c r="E137" s="291"/>
      <c r="F137" s="291">
        <v>2</v>
      </c>
      <c r="G137" s="269">
        <v>2198340</v>
      </c>
    </row>
    <row r="138" spans="4:7" ht="14.25">
      <c r="D138" s="264" t="s">
        <v>235</v>
      </c>
      <c r="E138" s="264"/>
      <c r="F138" s="264">
        <v>5</v>
      </c>
      <c r="G138" s="269">
        <v>2494862.222222222</v>
      </c>
    </row>
    <row r="139" spans="4:7" ht="14.25">
      <c r="D139" s="291" t="s">
        <v>236</v>
      </c>
      <c r="E139" s="291"/>
      <c r="F139" s="291">
        <v>5</v>
      </c>
      <c r="G139" s="269"/>
    </row>
    <row r="140" spans="4:7" ht="14.25">
      <c r="D140" s="291" t="s">
        <v>236</v>
      </c>
      <c r="E140" s="291"/>
      <c r="F140" s="291">
        <v>6</v>
      </c>
      <c r="G140" s="269">
        <v>2543281.8181818184</v>
      </c>
    </row>
    <row r="141" spans="4:7" ht="14.25">
      <c r="D141" s="318" t="s">
        <v>237</v>
      </c>
      <c r="E141" s="318"/>
      <c r="F141" s="264">
        <v>5</v>
      </c>
      <c r="G141" s="269">
        <v>2640096</v>
      </c>
    </row>
    <row r="142" spans="4:7" ht="14.25">
      <c r="D142" s="318" t="s">
        <v>297</v>
      </c>
      <c r="E142" s="318"/>
      <c r="F142" s="264">
        <v>5</v>
      </c>
      <c r="G142" s="279">
        <v>-2550000</v>
      </c>
    </row>
    <row r="143" spans="4:7" ht="14.25">
      <c r="D143" s="318" t="s">
        <v>297</v>
      </c>
      <c r="E143" s="318"/>
      <c r="F143" s="264">
        <v>5</v>
      </c>
      <c r="G143" s="279">
        <v>2550000</v>
      </c>
    </row>
    <row r="144" spans="4:7" ht="14.25">
      <c r="D144" s="291" t="s">
        <v>241</v>
      </c>
      <c r="E144" s="291"/>
      <c r="F144" s="291">
        <v>3</v>
      </c>
      <c r="G144" s="269">
        <v>2138820</v>
      </c>
    </row>
    <row r="145" spans="4:7" ht="14.25">
      <c r="D145" s="264" t="s">
        <v>242</v>
      </c>
      <c r="E145" s="264"/>
      <c r="F145" s="264">
        <v>2</v>
      </c>
      <c r="G145" s="269">
        <v>2180663.75</v>
      </c>
    </row>
    <row r="146" spans="4:7" ht="14.25">
      <c r="D146" s="264" t="s">
        <v>244</v>
      </c>
      <c r="E146" s="264"/>
      <c r="F146" s="264">
        <v>4</v>
      </c>
      <c r="G146" s="269">
        <v>1937414.5454545454</v>
      </c>
    </row>
    <row r="147" spans="4:7" ht="14.25">
      <c r="D147" s="264" t="s">
        <v>246</v>
      </c>
      <c r="E147" s="264"/>
      <c r="F147" s="264">
        <v>2</v>
      </c>
      <c r="G147" s="269">
        <v>1988602.5</v>
      </c>
    </row>
    <row r="148" spans="4:7" ht="14.25">
      <c r="D148" s="291" t="s">
        <v>249</v>
      </c>
      <c r="E148" s="291"/>
      <c r="F148" s="291">
        <v>6</v>
      </c>
      <c r="G148" s="269">
        <v>2064124.1666666667</v>
      </c>
    </row>
    <row r="149" spans="4:7" ht="14.25">
      <c r="D149" s="291" t="s">
        <v>251</v>
      </c>
      <c r="E149" s="291"/>
      <c r="F149" s="291">
        <v>1</v>
      </c>
      <c r="G149" s="269">
        <v>2105024.4444444445</v>
      </c>
    </row>
    <row r="150" spans="4:7" ht="14.25">
      <c r="D150" s="291" t="s">
        <v>251</v>
      </c>
      <c r="E150" s="291"/>
      <c r="F150" s="291">
        <v>2</v>
      </c>
      <c r="G150" s="269">
        <v>2105024.4444444445</v>
      </c>
    </row>
    <row r="151" ht="13.5">
      <c r="G151" s="84">
        <f>SUM(G129:G150)</f>
        <v>48157664.72474748</v>
      </c>
    </row>
    <row r="153" ht="14.25" thickBot="1"/>
    <row r="154" spans="1:36" ht="18.75">
      <c r="A154" s="536" t="s">
        <v>298</v>
      </c>
      <c r="B154" s="538" t="s">
        <v>299</v>
      </c>
      <c r="C154" s="540" t="s">
        <v>300</v>
      </c>
      <c r="D154" s="538" t="s">
        <v>301</v>
      </c>
      <c r="E154" s="18"/>
      <c r="F154" s="538" t="s">
        <v>302</v>
      </c>
      <c r="G154" s="538" t="s">
        <v>303</v>
      </c>
      <c r="H154" s="538" t="s">
        <v>304</v>
      </c>
      <c r="I154" s="543" t="s">
        <v>305</v>
      </c>
      <c r="J154" s="525" t="s">
        <v>306</v>
      </c>
      <c r="K154" s="525"/>
      <c r="L154" s="525"/>
      <c r="M154" s="525"/>
      <c r="N154" s="525"/>
      <c r="O154" s="526" t="s">
        <v>307</v>
      </c>
      <c r="P154" s="351"/>
      <c r="Q154" s="351"/>
      <c r="R154" s="351"/>
      <c r="S154" s="351"/>
      <c r="T154" s="528" t="s">
        <v>308</v>
      </c>
      <c r="U154" s="352"/>
      <c r="V154" s="528" t="s">
        <v>309</v>
      </c>
      <c r="W154" s="530" t="s">
        <v>310</v>
      </c>
      <c r="X154" s="525" t="s">
        <v>311</v>
      </c>
      <c r="Y154" s="525"/>
      <c r="Z154" s="525"/>
      <c r="AA154" s="525"/>
      <c r="AB154" s="525"/>
      <c r="AC154" s="525"/>
      <c r="AD154" s="525"/>
      <c r="AE154" s="525"/>
      <c r="AF154" s="525"/>
      <c r="AG154" s="515" t="s">
        <v>202</v>
      </c>
      <c r="AH154" s="517" t="s">
        <v>203</v>
      </c>
      <c r="AI154" s="518"/>
      <c r="AJ154" s="383"/>
    </row>
    <row r="155" spans="1:36" ht="31.5">
      <c r="A155" s="537"/>
      <c r="B155" s="539"/>
      <c r="C155" s="541"/>
      <c r="D155" s="539"/>
      <c r="E155" s="216"/>
      <c r="F155" s="539"/>
      <c r="G155" s="539"/>
      <c r="H155" s="539"/>
      <c r="I155" s="544"/>
      <c r="J155" s="521"/>
      <c r="K155" s="521"/>
      <c r="L155" s="521"/>
      <c r="M155" s="521"/>
      <c r="N155" s="521"/>
      <c r="O155" s="527"/>
      <c r="P155" s="353"/>
      <c r="Q155" s="353"/>
      <c r="R155" s="353"/>
      <c r="S155" s="353"/>
      <c r="T155" s="529"/>
      <c r="U155" s="354"/>
      <c r="V155" s="529"/>
      <c r="W155" s="531"/>
      <c r="X155" s="13">
        <v>0.0295</v>
      </c>
      <c r="Y155" s="13">
        <v>0.0655</v>
      </c>
      <c r="Z155" s="16">
        <v>0.045</v>
      </c>
      <c r="AA155" s="257"/>
      <c r="AB155" s="258">
        <v>0.0055</v>
      </c>
      <c r="AC155" s="13">
        <v>0.008</v>
      </c>
      <c r="AD155" s="258"/>
      <c r="AE155" s="13">
        <v>0.0078</v>
      </c>
      <c r="AF155" s="516" t="s">
        <v>209</v>
      </c>
      <c r="AG155" s="516"/>
      <c r="AH155" s="519"/>
      <c r="AI155" s="520"/>
      <c r="AJ155" s="383"/>
    </row>
    <row r="156" spans="1:36" ht="18.75">
      <c r="A156" s="537"/>
      <c r="B156" s="539"/>
      <c r="C156" s="542"/>
      <c r="D156" s="539"/>
      <c r="E156" s="216"/>
      <c r="F156" s="539"/>
      <c r="G156" s="539"/>
      <c r="H156" s="539"/>
      <c r="I156" s="544"/>
      <c r="J156" s="251" t="s">
        <v>210</v>
      </c>
      <c r="K156" s="251" t="s">
        <v>211</v>
      </c>
      <c r="L156" s="251" t="s">
        <v>212</v>
      </c>
      <c r="M156" s="251" t="s">
        <v>213</v>
      </c>
      <c r="N156" s="259" t="s">
        <v>214</v>
      </c>
      <c r="O156" s="527"/>
      <c r="P156" s="353"/>
      <c r="Q156" s="353"/>
      <c r="R156" s="353"/>
      <c r="S156" s="353"/>
      <c r="T156" s="529"/>
      <c r="U156" s="354"/>
      <c r="V156" s="529"/>
      <c r="W156" s="531"/>
      <c r="X156" s="216" t="s">
        <v>215</v>
      </c>
      <c r="Y156" s="216" t="s">
        <v>216</v>
      </c>
      <c r="Z156" s="216" t="s">
        <v>217</v>
      </c>
      <c r="AA156" s="262"/>
      <c r="AB156" s="262" t="s">
        <v>218</v>
      </c>
      <c r="AC156" s="216" t="s">
        <v>219</v>
      </c>
      <c r="AD156" s="262"/>
      <c r="AE156" s="216" t="s">
        <v>220</v>
      </c>
      <c r="AF156" s="516"/>
      <c r="AG156" s="516"/>
      <c r="AH156" s="519"/>
      <c r="AI156" s="520"/>
      <c r="AJ156" s="383"/>
    </row>
    <row r="157" spans="1:36" ht="14.25">
      <c r="A157" s="503" t="s">
        <v>312</v>
      </c>
      <c r="B157" s="506" t="s">
        <v>269</v>
      </c>
      <c r="C157" s="355" t="s">
        <v>313</v>
      </c>
      <c r="D157" s="522" t="s">
        <v>236</v>
      </c>
      <c r="E157" s="356"/>
      <c r="F157" s="265">
        <v>5</v>
      </c>
      <c r="G157" s="265">
        <v>1755000</v>
      </c>
      <c r="H157" s="265">
        <v>3</v>
      </c>
      <c r="I157" s="279">
        <f>G157*H157</f>
        <v>5265000</v>
      </c>
      <c r="J157" s="266">
        <f>G157*0.6</f>
        <v>1053000</v>
      </c>
      <c r="K157" s="279"/>
      <c r="L157" s="266">
        <f>705350+694160+747550</f>
        <v>2147060</v>
      </c>
      <c r="M157" s="279"/>
      <c r="N157" s="279">
        <f aca="true" t="shared" si="29" ref="N157:N183">SUM(J157:M157)</f>
        <v>3200060</v>
      </c>
      <c r="O157" s="279">
        <f>I157+N157</f>
        <v>8465060</v>
      </c>
      <c r="P157" s="279"/>
      <c r="Q157" s="279"/>
      <c r="R157" s="279"/>
      <c r="S157" s="279"/>
      <c r="T157" s="279"/>
      <c r="U157" s="279"/>
      <c r="V157" s="279"/>
      <c r="W157" s="279"/>
      <c r="X157" s="279">
        <v>225670</v>
      </c>
      <c r="Y157" s="279">
        <v>14780</v>
      </c>
      <c r="Z157" s="279">
        <v>344250</v>
      </c>
      <c r="AA157" s="279">
        <v>2550000</v>
      </c>
      <c r="AB157" s="279">
        <v>42070</v>
      </c>
      <c r="AC157" s="279">
        <v>61200</v>
      </c>
      <c r="AD157" s="279">
        <v>2550000</v>
      </c>
      <c r="AE157" s="279">
        <v>59670</v>
      </c>
      <c r="AF157" s="279">
        <v>705570</v>
      </c>
      <c r="AG157" s="335">
        <v>734680</v>
      </c>
      <c r="AH157" s="357">
        <f>O157+AF157+AG157</f>
        <v>9905310</v>
      </c>
      <c r="AI157" s="358"/>
      <c r="AJ157" s="43"/>
    </row>
    <row r="158" spans="1:36" ht="14.25">
      <c r="A158" s="504"/>
      <c r="B158" s="507"/>
      <c r="C158" s="355" t="s">
        <v>314</v>
      </c>
      <c r="D158" s="523"/>
      <c r="E158" s="359"/>
      <c r="F158" s="360">
        <v>6</v>
      </c>
      <c r="G158" s="360">
        <v>1860000</v>
      </c>
      <c r="H158" s="360">
        <v>3</v>
      </c>
      <c r="I158" s="361">
        <f>G158*H158</f>
        <v>5580000</v>
      </c>
      <c r="J158" s="361">
        <f>G158*0.6</f>
        <v>1116000</v>
      </c>
      <c r="K158" s="361"/>
      <c r="L158" s="362">
        <f>ROUNDDOWN((G158*56/209*1.5)+(G158*52/209*1.5)+(G158*56/209*1.5),-1)</f>
        <v>2189280</v>
      </c>
      <c r="M158" s="362"/>
      <c r="N158" s="362">
        <f t="shared" si="29"/>
        <v>3305280</v>
      </c>
      <c r="O158" s="362">
        <f>I158+N158</f>
        <v>8885280</v>
      </c>
      <c r="P158" s="362"/>
      <c r="Q158" s="362"/>
      <c r="R158" s="362"/>
      <c r="S158" s="362"/>
      <c r="T158" s="361"/>
      <c r="U158" s="361"/>
      <c r="V158" s="361"/>
      <c r="W158" s="361"/>
      <c r="X158" s="361">
        <f>X157</f>
        <v>225670</v>
      </c>
      <c r="Y158" s="361">
        <f aca="true" t="shared" si="30" ref="Y158:AF158">Y157</f>
        <v>14780</v>
      </c>
      <c r="Z158" s="361">
        <f t="shared" si="30"/>
        <v>344250</v>
      </c>
      <c r="AA158" s="361">
        <f t="shared" si="30"/>
        <v>2550000</v>
      </c>
      <c r="AB158" s="361">
        <f t="shared" si="30"/>
        <v>42070</v>
      </c>
      <c r="AC158" s="361">
        <f t="shared" si="30"/>
        <v>61200</v>
      </c>
      <c r="AD158" s="361">
        <f t="shared" si="30"/>
        <v>2550000</v>
      </c>
      <c r="AE158" s="361">
        <f t="shared" si="30"/>
        <v>59670</v>
      </c>
      <c r="AF158" s="361">
        <f t="shared" si="30"/>
        <v>705570</v>
      </c>
      <c r="AG158" s="363" t="e">
        <f>INT(((O158+#REF!)/12)/100)*100</f>
        <v>#REF!</v>
      </c>
      <c r="AH158" s="364" t="e">
        <f>O158+AF158+AG158</f>
        <v>#REF!</v>
      </c>
      <c r="AI158" s="358"/>
      <c r="AJ158" s="43"/>
    </row>
    <row r="159" spans="1:36" ht="14.25">
      <c r="A159" s="504"/>
      <c r="B159" s="507"/>
      <c r="C159" s="355" t="s">
        <v>313</v>
      </c>
      <c r="D159" s="522" t="s">
        <v>237</v>
      </c>
      <c r="E159" s="356"/>
      <c r="F159" s="265">
        <v>5</v>
      </c>
      <c r="G159" s="265">
        <v>1755000</v>
      </c>
      <c r="H159" s="265">
        <v>3</v>
      </c>
      <c r="I159" s="279">
        <f>G159*H159</f>
        <v>5265000</v>
      </c>
      <c r="J159" s="266">
        <f>G159*0.6</f>
        <v>1053000</v>
      </c>
      <c r="K159" s="279"/>
      <c r="L159" s="266">
        <f>705350+654970+705350</f>
        <v>2065670</v>
      </c>
      <c r="M159" s="279"/>
      <c r="N159" s="279">
        <f t="shared" si="29"/>
        <v>3118670</v>
      </c>
      <c r="O159" s="279">
        <f>I159+N159</f>
        <v>8383670</v>
      </c>
      <c r="P159" s="279"/>
      <c r="Q159" s="279"/>
      <c r="R159" s="279"/>
      <c r="S159" s="279"/>
      <c r="T159" s="279"/>
      <c r="U159" s="279"/>
      <c r="V159" s="279"/>
      <c r="W159" s="279"/>
      <c r="X159" s="279">
        <v>225670</v>
      </c>
      <c r="Y159" s="279">
        <v>14780</v>
      </c>
      <c r="Z159" s="279">
        <v>344250</v>
      </c>
      <c r="AA159" s="279">
        <v>2550000</v>
      </c>
      <c r="AB159" s="279">
        <v>42070</v>
      </c>
      <c r="AC159" s="279">
        <v>61200</v>
      </c>
      <c r="AD159" s="279">
        <v>2550000</v>
      </c>
      <c r="AE159" s="279">
        <v>59670</v>
      </c>
      <c r="AF159" s="279">
        <v>705570</v>
      </c>
      <c r="AG159" s="365">
        <v>734680</v>
      </c>
      <c r="AH159" s="357">
        <f>O159+AF159+AG159</f>
        <v>9823920</v>
      </c>
      <c r="AI159" s="358"/>
      <c r="AJ159" s="43"/>
    </row>
    <row r="160" spans="1:36" ht="14.25">
      <c r="A160" s="504"/>
      <c r="B160" s="507"/>
      <c r="C160" s="366" t="s">
        <v>314</v>
      </c>
      <c r="D160" s="524"/>
      <c r="E160" s="367"/>
      <c r="F160" s="360">
        <v>7</v>
      </c>
      <c r="G160" s="360">
        <v>1907000</v>
      </c>
      <c r="H160" s="360">
        <v>3</v>
      </c>
      <c r="I160" s="361">
        <f>G160*H160</f>
        <v>5721000</v>
      </c>
      <c r="J160" s="361">
        <f>G160*0.6</f>
        <v>1144200</v>
      </c>
      <c r="K160" s="361"/>
      <c r="L160" s="361">
        <f>ROUNDDOWN((G160*56/209*1.5)+(G160*52/209*1.5)+(G160*56/209*1.5),-1)</f>
        <v>2244600</v>
      </c>
      <c r="M160" s="361"/>
      <c r="N160" s="361">
        <f t="shared" si="29"/>
        <v>3388800</v>
      </c>
      <c r="O160" s="361">
        <f>I160+N160</f>
        <v>9109800</v>
      </c>
      <c r="P160" s="361"/>
      <c r="Q160" s="361"/>
      <c r="R160" s="361"/>
      <c r="S160" s="361"/>
      <c r="T160" s="361"/>
      <c r="U160" s="361"/>
      <c r="V160" s="361"/>
      <c r="W160" s="361"/>
      <c r="X160" s="361">
        <f>X159</f>
        <v>225670</v>
      </c>
      <c r="Y160" s="361">
        <f aca="true" t="shared" si="31" ref="Y160:AE160">Y159</f>
        <v>14780</v>
      </c>
      <c r="Z160" s="361">
        <f t="shared" si="31"/>
        <v>344250</v>
      </c>
      <c r="AA160" s="361">
        <f t="shared" si="31"/>
        <v>2550000</v>
      </c>
      <c r="AB160" s="361">
        <f t="shared" si="31"/>
        <v>42070</v>
      </c>
      <c r="AC160" s="361">
        <f t="shared" si="31"/>
        <v>61200</v>
      </c>
      <c r="AD160" s="361">
        <f t="shared" si="31"/>
        <v>2550000</v>
      </c>
      <c r="AE160" s="361">
        <f t="shared" si="31"/>
        <v>59670</v>
      </c>
      <c r="AF160" s="361">
        <f>SUM(X160,Y160,Z160,AC160,AE160)</f>
        <v>705570</v>
      </c>
      <c r="AG160" s="363" t="e">
        <f>INT(((O160+#REF!)/12)/100)*100</f>
        <v>#REF!</v>
      </c>
      <c r="AH160" s="364" t="e">
        <f>O160+AF160+AG160</f>
        <v>#REF!</v>
      </c>
      <c r="AI160" s="358"/>
      <c r="AJ160" s="43"/>
    </row>
    <row r="161" spans="1:36" ht="14.25">
      <c r="A161" s="489" t="s">
        <v>315</v>
      </c>
      <c r="B161" s="490"/>
      <c r="C161" s="490"/>
      <c r="D161" s="490"/>
      <c r="E161" s="490"/>
      <c r="F161" s="490"/>
      <c r="G161" s="491"/>
      <c r="H161" s="368"/>
      <c r="I161" s="269">
        <f>(I160+I158)-(I157+I159)</f>
        <v>771000</v>
      </c>
      <c r="J161" s="269">
        <f aca="true" t="shared" si="32" ref="J161:AH161">(J160+J158)-(J157+J159)</f>
        <v>154200</v>
      </c>
      <c r="K161" s="269">
        <f t="shared" si="32"/>
        <v>0</v>
      </c>
      <c r="L161" s="269">
        <f t="shared" si="32"/>
        <v>221150</v>
      </c>
      <c r="M161" s="269">
        <f t="shared" si="32"/>
        <v>0</v>
      </c>
      <c r="N161" s="269">
        <f t="shared" si="32"/>
        <v>375350</v>
      </c>
      <c r="O161" s="269">
        <f t="shared" si="32"/>
        <v>1146350</v>
      </c>
      <c r="P161" s="269"/>
      <c r="Q161" s="269"/>
      <c r="R161" s="269"/>
      <c r="S161" s="269"/>
      <c r="T161" s="269">
        <f t="shared" si="32"/>
        <v>0</v>
      </c>
      <c r="U161" s="269"/>
      <c r="V161" s="269">
        <f t="shared" si="32"/>
        <v>0</v>
      </c>
      <c r="W161" s="269">
        <f t="shared" si="32"/>
        <v>0</v>
      </c>
      <c r="X161" s="269">
        <f t="shared" si="32"/>
        <v>0</v>
      </c>
      <c r="Y161" s="269">
        <f t="shared" si="32"/>
        <v>0</v>
      </c>
      <c r="Z161" s="269">
        <f t="shared" si="32"/>
        <v>0</v>
      </c>
      <c r="AA161" s="269">
        <f t="shared" si="32"/>
        <v>0</v>
      </c>
      <c r="AB161" s="269">
        <f t="shared" si="32"/>
        <v>0</v>
      </c>
      <c r="AC161" s="269">
        <f t="shared" si="32"/>
        <v>0</v>
      </c>
      <c r="AD161" s="269">
        <f t="shared" si="32"/>
        <v>0</v>
      </c>
      <c r="AE161" s="269">
        <f t="shared" si="32"/>
        <v>0</v>
      </c>
      <c r="AF161" s="269">
        <f t="shared" si="32"/>
        <v>0</v>
      </c>
      <c r="AG161" s="269" t="e">
        <f t="shared" si="32"/>
        <v>#REF!</v>
      </c>
      <c r="AH161" s="269" t="e">
        <f t="shared" si="32"/>
        <v>#REF!</v>
      </c>
      <c r="AI161" s="358"/>
      <c r="AJ161" s="43"/>
    </row>
    <row r="162" spans="1:36" ht="14.25">
      <c r="A162" s="503" t="s">
        <v>316</v>
      </c>
      <c r="B162" s="506" t="s">
        <v>269</v>
      </c>
      <c r="C162" s="509" t="s">
        <v>313</v>
      </c>
      <c r="D162" s="509" t="s">
        <v>278</v>
      </c>
      <c r="E162" s="366"/>
      <c r="F162" s="335">
        <v>5</v>
      </c>
      <c r="G162" s="335">
        <v>105000</v>
      </c>
      <c r="H162" s="335">
        <v>2</v>
      </c>
      <c r="I162" s="335">
        <v>210000</v>
      </c>
      <c r="J162" s="335"/>
      <c r="K162" s="335"/>
      <c r="L162" s="335">
        <v>82890</v>
      </c>
      <c r="M162" s="335"/>
      <c r="N162" s="279">
        <f t="shared" si="29"/>
        <v>82890</v>
      </c>
      <c r="O162" s="279">
        <f aca="true" t="shared" si="33" ref="O162:O183">I162+N162</f>
        <v>292890</v>
      </c>
      <c r="P162" s="279"/>
      <c r="Q162" s="279"/>
      <c r="R162" s="279"/>
      <c r="S162" s="279"/>
      <c r="T162" s="335"/>
      <c r="U162" s="335"/>
      <c r="V162" s="335"/>
      <c r="W162" s="335"/>
      <c r="X162" s="335"/>
      <c r="Y162" s="335"/>
      <c r="Z162" s="335"/>
      <c r="AA162" s="335">
        <v>0</v>
      </c>
      <c r="AB162" s="335">
        <v>0</v>
      </c>
      <c r="AC162" s="335"/>
      <c r="AD162" s="335">
        <v>0</v>
      </c>
      <c r="AE162" s="335"/>
      <c r="AF162" s="335"/>
      <c r="AG162" s="335">
        <v>24400</v>
      </c>
      <c r="AH162" s="357">
        <f aca="true" t="shared" si="34" ref="AH162:AH168">O162+AF162+AG162</f>
        <v>317290</v>
      </c>
      <c r="AI162" s="358"/>
      <c r="AJ162" s="43"/>
    </row>
    <row r="163" spans="1:36" ht="14.25">
      <c r="A163" s="504"/>
      <c r="B163" s="507"/>
      <c r="C163" s="510"/>
      <c r="D163" s="511"/>
      <c r="E163" s="369"/>
      <c r="F163" s="335">
        <v>6</v>
      </c>
      <c r="G163" s="335">
        <v>1860000</v>
      </c>
      <c r="H163" s="335">
        <v>3</v>
      </c>
      <c r="I163" s="335">
        <v>5580000</v>
      </c>
      <c r="J163" s="335"/>
      <c r="K163" s="335"/>
      <c r="L163" s="335">
        <f>694160+694160+694160</f>
        <v>2082480</v>
      </c>
      <c r="M163" s="335"/>
      <c r="N163" s="279">
        <f t="shared" si="29"/>
        <v>2082480</v>
      </c>
      <c r="O163" s="279">
        <f t="shared" si="33"/>
        <v>7662480</v>
      </c>
      <c r="P163" s="279"/>
      <c r="Q163" s="279"/>
      <c r="R163" s="279"/>
      <c r="S163" s="279"/>
      <c r="T163" s="335"/>
      <c r="U163" s="335"/>
      <c r="V163" s="335"/>
      <c r="W163" s="335"/>
      <c r="X163" s="335">
        <v>256650</v>
      </c>
      <c r="Y163" s="335">
        <v>16810</v>
      </c>
      <c r="Z163" s="335">
        <v>344250</v>
      </c>
      <c r="AA163" s="335">
        <v>2900000</v>
      </c>
      <c r="AB163" s="335">
        <v>47850</v>
      </c>
      <c r="AC163" s="335">
        <v>69600</v>
      </c>
      <c r="AD163" s="335">
        <v>2550000</v>
      </c>
      <c r="AE163" s="335">
        <v>59670</v>
      </c>
      <c r="AF163" s="335">
        <v>746980</v>
      </c>
      <c r="AG163" s="335">
        <v>683550</v>
      </c>
      <c r="AH163" s="357">
        <f t="shared" si="34"/>
        <v>9093010</v>
      </c>
      <c r="AI163" s="358"/>
      <c r="AJ163" s="43"/>
    </row>
    <row r="164" spans="1:36" ht="14.25">
      <c r="A164" s="504"/>
      <c r="B164" s="507"/>
      <c r="C164" s="355" t="s">
        <v>314</v>
      </c>
      <c r="D164" s="510"/>
      <c r="E164" s="370"/>
      <c r="F164" s="363">
        <v>7</v>
      </c>
      <c r="G164" s="363">
        <v>1907000</v>
      </c>
      <c r="H164" s="363">
        <v>3</v>
      </c>
      <c r="I164" s="361">
        <f>G164*H164</f>
        <v>5721000</v>
      </c>
      <c r="J164" s="363"/>
      <c r="K164" s="363"/>
      <c r="L164" s="361">
        <f>ROUNDDOWN((G164*52/209*1.5)+(G164*52/209*1.5)+(G164*52/209*1.5),-1)</f>
        <v>2135110</v>
      </c>
      <c r="M164" s="363"/>
      <c r="N164" s="361">
        <f t="shared" si="29"/>
        <v>2135110</v>
      </c>
      <c r="O164" s="361">
        <f t="shared" si="33"/>
        <v>7856110</v>
      </c>
      <c r="P164" s="361"/>
      <c r="Q164" s="361"/>
      <c r="R164" s="361"/>
      <c r="S164" s="361"/>
      <c r="T164" s="363"/>
      <c r="U164" s="363"/>
      <c r="V164" s="363"/>
      <c r="W164" s="363"/>
      <c r="X164" s="361">
        <f>X163</f>
        <v>256650</v>
      </c>
      <c r="Y164" s="361">
        <f aca="true" t="shared" si="35" ref="Y164:AF164">Y163</f>
        <v>16810</v>
      </c>
      <c r="Z164" s="361">
        <f t="shared" si="35"/>
        <v>344250</v>
      </c>
      <c r="AA164" s="361">
        <f t="shared" si="35"/>
        <v>2900000</v>
      </c>
      <c r="AB164" s="361">
        <f t="shared" si="35"/>
        <v>47850</v>
      </c>
      <c r="AC164" s="361">
        <f t="shared" si="35"/>
        <v>69600</v>
      </c>
      <c r="AD164" s="361">
        <f t="shared" si="35"/>
        <v>2550000</v>
      </c>
      <c r="AE164" s="361">
        <f t="shared" si="35"/>
        <v>59670</v>
      </c>
      <c r="AF164" s="361">
        <f t="shared" si="35"/>
        <v>746980</v>
      </c>
      <c r="AG164" s="363" t="e">
        <f>INT(((O164+#REF!)/12)/100)*100</f>
        <v>#REF!</v>
      </c>
      <c r="AH164" s="364" t="e">
        <f t="shared" si="34"/>
        <v>#REF!</v>
      </c>
      <c r="AI164" s="358"/>
      <c r="AJ164" s="43"/>
    </row>
    <row r="165" spans="1:36" ht="14.25">
      <c r="A165" s="504"/>
      <c r="B165" s="507"/>
      <c r="C165" s="355" t="s">
        <v>313</v>
      </c>
      <c r="D165" s="509" t="s">
        <v>317</v>
      </c>
      <c r="E165" s="366"/>
      <c r="F165" s="335">
        <v>5</v>
      </c>
      <c r="G165" s="335">
        <v>1755000</v>
      </c>
      <c r="H165" s="335">
        <v>3</v>
      </c>
      <c r="I165" s="335">
        <v>5265000</v>
      </c>
      <c r="J165" s="335"/>
      <c r="K165" s="335"/>
      <c r="L165" s="335">
        <f>654970+654970+654970</f>
        <v>1964910</v>
      </c>
      <c r="M165" s="335"/>
      <c r="N165" s="279">
        <f t="shared" si="29"/>
        <v>1964910</v>
      </c>
      <c r="O165" s="279">
        <f t="shared" si="33"/>
        <v>7229910</v>
      </c>
      <c r="P165" s="279"/>
      <c r="Q165" s="279"/>
      <c r="R165" s="279"/>
      <c r="S165" s="279"/>
      <c r="T165" s="335"/>
      <c r="U165" s="335"/>
      <c r="V165" s="335"/>
      <c r="W165" s="335"/>
      <c r="X165" s="335">
        <v>252220</v>
      </c>
      <c r="Y165" s="335">
        <v>16520</v>
      </c>
      <c r="Z165" s="335">
        <v>344250</v>
      </c>
      <c r="AA165" s="335">
        <v>2850000</v>
      </c>
      <c r="AB165" s="335">
        <v>47020</v>
      </c>
      <c r="AC165" s="335">
        <v>68400</v>
      </c>
      <c r="AD165" s="335">
        <v>2550000</v>
      </c>
      <c r="AE165" s="335">
        <v>59670</v>
      </c>
      <c r="AF165" s="335">
        <v>741060</v>
      </c>
      <c r="AG165" s="335">
        <v>646940</v>
      </c>
      <c r="AH165" s="357">
        <f t="shared" si="34"/>
        <v>8617910</v>
      </c>
      <c r="AI165" s="358"/>
      <c r="AJ165" s="43"/>
    </row>
    <row r="166" spans="1:36" ht="14.25">
      <c r="A166" s="504"/>
      <c r="B166" s="507"/>
      <c r="C166" s="355" t="s">
        <v>314</v>
      </c>
      <c r="D166" s="510"/>
      <c r="E166" s="370"/>
      <c r="F166" s="363">
        <v>8</v>
      </c>
      <c r="G166" s="363">
        <v>1969000</v>
      </c>
      <c r="H166" s="363">
        <v>3</v>
      </c>
      <c r="I166" s="361">
        <f>G166*H166</f>
        <v>5907000</v>
      </c>
      <c r="J166" s="363"/>
      <c r="K166" s="363"/>
      <c r="L166" s="361">
        <f>ROUNDDOWN((G166*52/209*1.5)+(G166*52/209*1.5)+(G166*52/209*1.5),-1)</f>
        <v>2204520</v>
      </c>
      <c r="M166" s="363"/>
      <c r="N166" s="361">
        <f t="shared" si="29"/>
        <v>2204520</v>
      </c>
      <c r="O166" s="361">
        <f t="shared" si="33"/>
        <v>8111520</v>
      </c>
      <c r="P166" s="361"/>
      <c r="Q166" s="361"/>
      <c r="R166" s="361"/>
      <c r="S166" s="361"/>
      <c r="T166" s="363"/>
      <c r="U166" s="363"/>
      <c r="V166" s="363"/>
      <c r="W166" s="363"/>
      <c r="X166" s="361">
        <f>X165</f>
        <v>252220</v>
      </c>
      <c r="Y166" s="361">
        <f aca="true" t="shared" si="36" ref="Y166:AF166">Y165</f>
        <v>16520</v>
      </c>
      <c r="Z166" s="361">
        <f t="shared" si="36"/>
        <v>344250</v>
      </c>
      <c r="AA166" s="361">
        <f t="shared" si="36"/>
        <v>2850000</v>
      </c>
      <c r="AB166" s="361">
        <f t="shared" si="36"/>
        <v>47020</v>
      </c>
      <c r="AC166" s="361">
        <f t="shared" si="36"/>
        <v>68400</v>
      </c>
      <c r="AD166" s="361">
        <f t="shared" si="36"/>
        <v>2550000</v>
      </c>
      <c r="AE166" s="361">
        <f t="shared" si="36"/>
        <v>59670</v>
      </c>
      <c r="AF166" s="361">
        <f t="shared" si="36"/>
        <v>741060</v>
      </c>
      <c r="AG166" s="363" t="e">
        <f>INT(((O166+#REF!)/12)/100)*100</f>
        <v>#REF!</v>
      </c>
      <c r="AH166" s="364" t="e">
        <f t="shared" si="34"/>
        <v>#REF!</v>
      </c>
      <c r="AI166" s="358"/>
      <c r="AJ166" s="43"/>
    </row>
    <row r="167" spans="1:36" ht="14.25">
      <c r="A167" s="504"/>
      <c r="B167" s="507"/>
      <c r="C167" s="355" t="s">
        <v>313</v>
      </c>
      <c r="D167" s="509" t="s">
        <v>318</v>
      </c>
      <c r="E167" s="366"/>
      <c r="F167" s="335">
        <v>5</v>
      </c>
      <c r="G167" s="335">
        <v>1755000</v>
      </c>
      <c r="H167" s="335">
        <v>3</v>
      </c>
      <c r="I167" s="334">
        <v>5265000</v>
      </c>
      <c r="J167" s="335"/>
      <c r="L167" s="335">
        <f>654970+705350+654970</f>
        <v>2015290</v>
      </c>
      <c r="M167" s="335"/>
      <c r="N167" s="279">
        <f t="shared" si="29"/>
        <v>2015290</v>
      </c>
      <c r="O167" s="279">
        <f t="shared" si="33"/>
        <v>7280290</v>
      </c>
      <c r="P167" s="279"/>
      <c r="Q167" s="279"/>
      <c r="R167" s="279"/>
      <c r="S167" s="279"/>
      <c r="T167" s="335"/>
      <c r="U167" s="335"/>
      <c r="V167" s="335"/>
      <c r="W167" s="335"/>
      <c r="X167" s="335">
        <v>225670</v>
      </c>
      <c r="Y167" s="335">
        <v>14780</v>
      </c>
      <c r="Z167" s="335">
        <v>344250</v>
      </c>
      <c r="AA167" s="335">
        <v>2550000</v>
      </c>
      <c r="AB167" s="335">
        <v>42070</v>
      </c>
      <c r="AC167" s="335">
        <v>61200</v>
      </c>
      <c r="AD167" s="335">
        <v>2550000</v>
      </c>
      <c r="AE167" s="335">
        <v>59670</v>
      </c>
      <c r="AF167" s="335">
        <v>705570</v>
      </c>
      <c r="AG167" s="335">
        <v>646940</v>
      </c>
      <c r="AH167" s="357">
        <f t="shared" si="34"/>
        <v>8632800</v>
      </c>
      <c r="AI167" s="358"/>
      <c r="AJ167" s="43"/>
    </row>
    <row r="168" spans="1:36" ht="14.25">
      <c r="A168" s="505"/>
      <c r="B168" s="508"/>
      <c r="C168" s="355" t="s">
        <v>314</v>
      </c>
      <c r="D168" s="510"/>
      <c r="E168" s="369"/>
      <c r="F168" s="371">
        <v>6</v>
      </c>
      <c r="G168" s="363">
        <v>1860000</v>
      </c>
      <c r="H168" s="363">
        <v>3</v>
      </c>
      <c r="I168" s="361">
        <f>G168*H168</f>
        <v>5580000</v>
      </c>
      <c r="J168" s="363"/>
      <c r="K168" s="363"/>
      <c r="L168" s="361">
        <f>ROUNDDOWN((G168*52/209*1.5)+(G168*56/209*1.5)+(G168*52/209*1.5),-1)</f>
        <v>2135880</v>
      </c>
      <c r="M168" s="363"/>
      <c r="N168" s="361">
        <f t="shared" si="29"/>
        <v>2135880</v>
      </c>
      <c r="O168" s="361">
        <f t="shared" si="33"/>
        <v>7715880</v>
      </c>
      <c r="P168" s="361"/>
      <c r="Q168" s="361"/>
      <c r="R168" s="361"/>
      <c r="S168" s="361"/>
      <c r="T168" s="363"/>
      <c r="U168" s="363"/>
      <c r="V168" s="363"/>
      <c r="W168" s="363"/>
      <c r="X168" s="361">
        <f>X167</f>
        <v>225670</v>
      </c>
      <c r="Y168" s="361">
        <f aca="true" t="shared" si="37" ref="Y168:AF168">Y167</f>
        <v>14780</v>
      </c>
      <c r="Z168" s="361">
        <f t="shared" si="37"/>
        <v>344250</v>
      </c>
      <c r="AA168" s="361">
        <f t="shared" si="37"/>
        <v>2550000</v>
      </c>
      <c r="AB168" s="361">
        <f t="shared" si="37"/>
        <v>42070</v>
      </c>
      <c r="AC168" s="361">
        <f t="shared" si="37"/>
        <v>61200</v>
      </c>
      <c r="AD168" s="361">
        <f t="shared" si="37"/>
        <v>2550000</v>
      </c>
      <c r="AE168" s="361">
        <f t="shared" si="37"/>
        <v>59670</v>
      </c>
      <c r="AF168" s="361">
        <f t="shared" si="37"/>
        <v>705570</v>
      </c>
      <c r="AG168" s="363" t="e">
        <f>INT(((O168+#REF!)/12)/100)*100</f>
        <v>#REF!</v>
      </c>
      <c r="AH168" s="364" t="e">
        <f t="shared" si="34"/>
        <v>#REF!</v>
      </c>
      <c r="AI168" s="358"/>
      <c r="AJ168" s="43"/>
    </row>
    <row r="169" spans="1:36" ht="14.25">
      <c r="A169" s="489" t="s">
        <v>319</v>
      </c>
      <c r="B169" s="490"/>
      <c r="C169" s="490"/>
      <c r="D169" s="490"/>
      <c r="E169" s="490"/>
      <c r="F169" s="490"/>
      <c r="G169" s="491"/>
      <c r="H169" s="368"/>
      <c r="I169" s="270">
        <f>(I164+I166+I168)-(I162+I163+I165+I167)</f>
        <v>888000</v>
      </c>
      <c r="J169" s="270">
        <f>(J164+J166+J168)-(J162+J163+J165+J167)</f>
        <v>0</v>
      </c>
      <c r="K169" s="270">
        <f>(K164+K166+K168)-(K162+K163+K165+K167)</f>
        <v>0</v>
      </c>
      <c r="L169" s="270">
        <f>(L164+L166+L168)-(L162+L163+L165+L167)</f>
        <v>329940</v>
      </c>
      <c r="M169" s="270">
        <f>(M164+M166+M168)-(M162+M163+M165+M167)</f>
        <v>0</v>
      </c>
      <c r="N169" s="269">
        <f t="shared" si="29"/>
        <v>329940</v>
      </c>
      <c r="O169" s="269">
        <f t="shared" si="33"/>
        <v>1217940</v>
      </c>
      <c r="P169" s="269"/>
      <c r="Q169" s="269"/>
      <c r="R169" s="269"/>
      <c r="S169" s="269"/>
      <c r="T169" s="270"/>
      <c r="U169" s="270"/>
      <c r="V169" s="270"/>
      <c r="W169" s="270"/>
      <c r="X169" s="270">
        <f aca="true" t="shared" si="38" ref="X169:AH169">(X164+X166+X168)-(X162+X163+X165+X167)</f>
        <v>0</v>
      </c>
      <c r="Y169" s="270">
        <f t="shared" si="38"/>
        <v>0</v>
      </c>
      <c r="Z169" s="270">
        <f t="shared" si="38"/>
        <v>0</v>
      </c>
      <c r="AA169" s="270">
        <f t="shared" si="38"/>
        <v>0</v>
      </c>
      <c r="AB169" s="270">
        <f t="shared" si="38"/>
        <v>0</v>
      </c>
      <c r="AC169" s="270">
        <f t="shared" si="38"/>
        <v>0</v>
      </c>
      <c r="AD169" s="270">
        <f t="shared" si="38"/>
        <v>0</v>
      </c>
      <c r="AE169" s="270">
        <f t="shared" si="38"/>
        <v>0</v>
      </c>
      <c r="AF169" s="270">
        <f t="shared" si="38"/>
        <v>0</v>
      </c>
      <c r="AG169" s="270" t="e">
        <f t="shared" si="38"/>
        <v>#REF!</v>
      </c>
      <c r="AH169" s="270" t="e">
        <f t="shared" si="38"/>
        <v>#REF!</v>
      </c>
      <c r="AI169" s="358"/>
      <c r="AJ169" s="43"/>
    </row>
    <row r="170" spans="1:36" ht="14.25">
      <c r="A170" s="503" t="s">
        <v>320</v>
      </c>
      <c r="B170" s="512" t="s">
        <v>269</v>
      </c>
      <c r="C170" s="355" t="s">
        <v>313</v>
      </c>
      <c r="D170" s="509" t="s">
        <v>278</v>
      </c>
      <c r="E170" s="366"/>
      <c r="F170" s="335">
        <v>6</v>
      </c>
      <c r="G170" s="335">
        <v>1860000</v>
      </c>
      <c r="H170" s="335">
        <v>3</v>
      </c>
      <c r="I170" s="335">
        <v>5580000</v>
      </c>
      <c r="J170" s="335">
        <v>1116000</v>
      </c>
      <c r="K170" s="335"/>
      <c r="L170" s="335">
        <f>747550+694160+694160</f>
        <v>2135870</v>
      </c>
      <c r="M170" s="335"/>
      <c r="N170" s="279">
        <f t="shared" si="29"/>
        <v>3251870</v>
      </c>
      <c r="O170" s="279">
        <f t="shared" si="33"/>
        <v>8831870</v>
      </c>
      <c r="P170" s="279"/>
      <c r="Q170" s="279"/>
      <c r="R170" s="279"/>
      <c r="S170" s="279"/>
      <c r="T170" s="335"/>
      <c r="U170" s="335"/>
      <c r="V170" s="335"/>
      <c r="W170" s="335"/>
      <c r="X170" s="335">
        <v>256650</v>
      </c>
      <c r="Y170" s="335">
        <v>16810</v>
      </c>
      <c r="Z170" s="335">
        <v>343340</v>
      </c>
      <c r="AA170" s="335">
        <v>2900000</v>
      </c>
      <c r="AB170" s="335">
        <v>47850</v>
      </c>
      <c r="AC170" s="335">
        <v>69600</v>
      </c>
      <c r="AD170" s="335">
        <v>2550000</v>
      </c>
      <c r="AE170" s="335">
        <v>59670</v>
      </c>
      <c r="AF170" s="335">
        <v>746070</v>
      </c>
      <c r="AG170" s="335">
        <v>776550</v>
      </c>
      <c r="AH170" s="357">
        <f aca="true" t="shared" si="39" ref="AH170:AH176">O170+AF170+AG170</f>
        <v>10354490</v>
      </c>
      <c r="AI170" s="358"/>
      <c r="AJ170" s="43"/>
    </row>
    <row r="171" spans="1:36" ht="14.25">
      <c r="A171" s="504"/>
      <c r="B171" s="513"/>
      <c r="C171" s="355" t="s">
        <v>314</v>
      </c>
      <c r="D171" s="510"/>
      <c r="E171" s="370"/>
      <c r="F171" s="363">
        <v>7</v>
      </c>
      <c r="G171" s="363">
        <v>1907000</v>
      </c>
      <c r="H171" s="363">
        <v>3</v>
      </c>
      <c r="I171" s="361">
        <f>G171*H171</f>
        <v>5721000</v>
      </c>
      <c r="J171" s="363">
        <f>G171*0.6</f>
        <v>1144200</v>
      </c>
      <c r="K171" s="363"/>
      <c r="L171" s="361">
        <f>ROUNDDOWN((G171*56/209*1.5)+(G171*52/209*1.5)+(G171*52/209*1.5),-1)</f>
        <v>2189850</v>
      </c>
      <c r="M171" s="363"/>
      <c r="N171" s="361">
        <f t="shared" si="29"/>
        <v>3334050</v>
      </c>
      <c r="O171" s="361">
        <f t="shared" si="33"/>
        <v>9055050</v>
      </c>
      <c r="P171" s="361"/>
      <c r="Q171" s="361"/>
      <c r="R171" s="361"/>
      <c r="S171" s="361"/>
      <c r="T171" s="363"/>
      <c r="U171" s="363"/>
      <c r="V171" s="363"/>
      <c r="W171" s="363"/>
      <c r="X171" s="361">
        <f>X170</f>
        <v>256650</v>
      </c>
      <c r="Y171" s="361">
        <f aca="true" t="shared" si="40" ref="Y171:AF171">Y170</f>
        <v>16810</v>
      </c>
      <c r="Z171" s="361">
        <f t="shared" si="40"/>
        <v>343340</v>
      </c>
      <c r="AA171" s="361">
        <f t="shared" si="40"/>
        <v>2900000</v>
      </c>
      <c r="AB171" s="361">
        <f t="shared" si="40"/>
        <v>47850</v>
      </c>
      <c r="AC171" s="361">
        <f t="shared" si="40"/>
        <v>69600</v>
      </c>
      <c r="AD171" s="361">
        <f t="shared" si="40"/>
        <v>2550000</v>
      </c>
      <c r="AE171" s="361">
        <f t="shared" si="40"/>
        <v>59670</v>
      </c>
      <c r="AF171" s="361">
        <f t="shared" si="40"/>
        <v>746070</v>
      </c>
      <c r="AG171" s="372" t="e">
        <f>INT(((O171+#REF!)/12)/100)*100</f>
        <v>#REF!</v>
      </c>
      <c r="AH171" s="364" t="e">
        <f t="shared" si="39"/>
        <v>#REF!</v>
      </c>
      <c r="AI171" s="358"/>
      <c r="AJ171" s="43"/>
    </row>
    <row r="172" spans="1:36" ht="14.25">
      <c r="A172" s="504"/>
      <c r="B172" s="513"/>
      <c r="C172" s="509" t="s">
        <v>313</v>
      </c>
      <c r="D172" s="509" t="s">
        <v>317</v>
      </c>
      <c r="E172" s="366"/>
      <c r="F172" s="335">
        <v>5</v>
      </c>
      <c r="G172" s="335">
        <v>1755000</v>
      </c>
      <c r="H172" s="335">
        <v>1</v>
      </c>
      <c r="I172" s="335">
        <v>1755000</v>
      </c>
      <c r="J172" s="335"/>
      <c r="K172" s="335"/>
      <c r="L172" s="335">
        <v>705350</v>
      </c>
      <c r="M172" s="335"/>
      <c r="N172" s="279">
        <f t="shared" si="29"/>
        <v>705350</v>
      </c>
      <c r="O172" s="279">
        <f t="shared" si="33"/>
        <v>2460350</v>
      </c>
      <c r="P172" s="279"/>
      <c r="Q172" s="279"/>
      <c r="R172" s="279"/>
      <c r="S172" s="279"/>
      <c r="T172" s="335"/>
      <c r="U172" s="335"/>
      <c r="V172" s="335"/>
      <c r="W172" s="335"/>
      <c r="X172" s="335">
        <v>84070</v>
      </c>
      <c r="Y172" s="335">
        <v>5500</v>
      </c>
      <c r="Z172" s="335">
        <v>118800</v>
      </c>
      <c r="AA172" s="335">
        <v>2850000</v>
      </c>
      <c r="AB172" s="335">
        <v>15670</v>
      </c>
      <c r="AC172" s="335">
        <v>22800</v>
      </c>
      <c r="AD172" s="335">
        <v>2550000</v>
      </c>
      <c r="AE172" s="335">
        <v>19890</v>
      </c>
      <c r="AF172" s="335">
        <v>251060</v>
      </c>
      <c r="AG172" s="335">
        <v>215640</v>
      </c>
      <c r="AH172" s="357">
        <f t="shared" si="39"/>
        <v>2927050</v>
      </c>
      <c r="AI172" s="358"/>
      <c r="AJ172" s="43"/>
    </row>
    <row r="173" spans="1:36" ht="14.25">
      <c r="A173" s="504"/>
      <c r="B173" s="513"/>
      <c r="C173" s="510"/>
      <c r="D173" s="511"/>
      <c r="E173" s="369"/>
      <c r="F173" s="335">
        <v>6</v>
      </c>
      <c r="G173" s="335">
        <v>1860000</v>
      </c>
      <c r="H173" s="335">
        <v>2</v>
      </c>
      <c r="I173" s="335">
        <v>3720000</v>
      </c>
      <c r="J173" s="335">
        <v>1116000</v>
      </c>
      <c r="K173" s="335"/>
      <c r="L173" s="335">
        <f>694160+747550</f>
        <v>1441710</v>
      </c>
      <c r="M173" s="335"/>
      <c r="N173" s="279">
        <f t="shared" si="29"/>
        <v>2557710</v>
      </c>
      <c r="O173" s="279">
        <f t="shared" si="33"/>
        <v>6277710</v>
      </c>
      <c r="P173" s="279"/>
      <c r="Q173" s="279"/>
      <c r="R173" s="279"/>
      <c r="S173" s="279"/>
      <c r="T173" s="335"/>
      <c r="U173" s="335"/>
      <c r="V173" s="335"/>
      <c r="W173" s="335"/>
      <c r="X173" s="335">
        <v>168150</v>
      </c>
      <c r="Y173" s="335">
        <v>11010</v>
      </c>
      <c r="Z173" s="335">
        <v>237600</v>
      </c>
      <c r="AA173" s="335">
        <v>2850000</v>
      </c>
      <c r="AB173" s="335">
        <v>31350</v>
      </c>
      <c r="AC173" s="335">
        <v>45600</v>
      </c>
      <c r="AD173" s="335">
        <v>2550000</v>
      </c>
      <c r="AE173" s="335">
        <v>39780</v>
      </c>
      <c r="AF173" s="335">
        <v>502140</v>
      </c>
      <c r="AG173" s="335">
        <v>548700</v>
      </c>
      <c r="AH173" s="357">
        <f t="shared" si="39"/>
        <v>7328550</v>
      </c>
      <c r="AI173" s="358"/>
      <c r="AJ173" s="43"/>
    </row>
    <row r="174" spans="1:36" ht="14.25">
      <c r="A174" s="504"/>
      <c r="B174" s="513"/>
      <c r="C174" s="355" t="s">
        <v>314</v>
      </c>
      <c r="D174" s="510"/>
      <c r="E174" s="370"/>
      <c r="F174" s="363">
        <v>8</v>
      </c>
      <c r="G174" s="363">
        <v>1969000</v>
      </c>
      <c r="H174" s="363">
        <v>3</v>
      </c>
      <c r="I174" s="361">
        <f>G174*H174</f>
        <v>5907000</v>
      </c>
      <c r="J174" s="363">
        <f>G174*0.6</f>
        <v>1181400</v>
      </c>
      <c r="K174" s="363"/>
      <c r="L174" s="361">
        <f>ROUNDDOWN((G174*56/209*1.5)+(G174*52/209*1.5)+(G174*56/209*1.5),-1)</f>
        <v>2317570</v>
      </c>
      <c r="M174" s="363"/>
      <c r="N174" s="361">
        <f t="shared" si="29"/>
        <v>3498970</v>
      </c>
      <c r="O174" s="361">
        <f t="shared" si="33"/>
        <v>9405970</v>
      </c>
      <c r="P174" s="361"/>
      <c r="Q174" s="361"/>
      <c r="R174" s="361"/>
      <c r="S174" s="361"/>
      <c r="T174" s="363"/>
      <c r="U174" s="363"/>
      <c r="V174" s="363"/>
      <c r="W174" s="363"/>
      <c r="X174" s="363">
        <f>X172+X173</f>
        <v>252220</v>
      </c>
      <c r="Y174" s="363">
        <f aca="true" t="shared" si="41" ref="Y174:AF174">Y172+Y173</f>
        <v>16510</v>
      </c>
      <c r="Z174" s="363">
        <f t="shared" si="41"/>
        <v>356400</v>
      </c>
      <c r="AA174" s="363">
        <f t="shared" si="41"/>
        <v>5700000</v>
      </c>
      <c r="AB174" s="363">
        <f t="shared" si="41"/>
        <v>47020</v>
      </c>
      <c r="AC174" s="363">
        <f t="shared" si="41"/>
        <v>68400</v>
      </c>
      <c r="AD174" s="363">
        <f t="shared" si="41"/>
        <v>5100000</v>
      </c>
      <c r="AE174" s="363">
        <f t="shared" si="41"/>
        <v>59670</v>
      </c>
      <c r="AF174" s="363">
        <f t="shared" si="41"/>
        <v>753200</v>
      </c>
      <c r="AG174" s="372" t="e">
        <f>INT(((O174+#REF!)/12)/100)*100</f>
        <v>#REF!</v>
      </c>
      <c r="AH174" s="364" t="e">
        <f t="shared" si="39"/>
        <v>#REF!</v>
      </c>
      <c r="AI174" s="358"/>
      <c r="AJ174" s="43"/>
    </row>
    <row r="175" spans="1:36" ht="14.25">
      <c r="A175" s="504"/>
      <c r="B175" s="513"/>
      <c r="C175" s="355" t="s">
        <v>313</v>
      </c>
      <c r="D175" s="509" t="s">
        <v>318</v>
      </c>
      <c r="E175" s="366"/>
      <c r="F175" s="335">
        <v>5</v>
      </c>
      <c r="G175" s="335">
        <v>1755000</v>
      </c>
      <c r="H175" s="335">
        <v>3</v>
      </c>
      <c r="I175" s="335">
        <v>5265000</v>
      </c>
      <c r="J175" s="335">
        <v>1053000</v>
      </c>
      <c r="K175" s="335"/>
      <c r="L175" s="335">
        <f>654970+654970+654970</f>
        <v>1964910</v>
      </c>
      <c r="M175" s="335"/>
      <c r="N175" s="279">
        <f t="shared" si="29"/>
        <v>3017910</v>
      </c>
      <c r="O175" s="279">
        <f t="shared" si="33"/>
        <v>8282910</v>
      </c>
      <c r="P175" s="279"/>
      <c r="Q175" s="279"/>
      <c r="R175" s="279"/>
      <c r="S175" s="279"/>
      <c r="T175" s="335"/>
      <c r="U175" s="335"/>
      <c r="V175" s="335"/>
      <c r="W175" s="335"/>
      <c r="X175" s="335">
        <v>225670</v>
      </c>
      <c r="Y175" s="335">
        <v>14780</v>
      </c>
      <c r="Z175" s="335">
        <v>344250</v>
      </c>
      <c r="AA175" s="335">
        <v>2550000</v>
      </c>
      <c r="AB175" s="335">
        <v>42070</v>
      </c>
      <c r="AC175" s="335">
        <v>61200</v>
      </c>
      <c r="AD175" s="335">
        <v>2550000</v>
      </c>
      <c r="AE175" s="335">
        <v>59670</v>
      </c>
      <c r="AF175" s="335">
        <v>705570</v>
      </c>
      <c r="AG175" s="335">
        <v>734690</v>
      </c>
      <c r="AH175" s="357">
        <f t="shared" si="39"/>
        <v>9723170</v>
      </c>
      <c r="AI175" s="358"/>
      <c r="AJ175" s="43"/>
    </row>
    <row r="176" spans="1:36" ht="14.25">
      <c r="A176" s="505"/>
      <c r="B176" s="514"/>
      <c r="C176" s="355" t="s">
        <v>314</v>
      </c>
      <c r="D176" s="510"/>
      <c r="E176" s="370"/>
      <c r="F176" s="363">
        <v>7</v>
      </c>
      <c r="G176" s="363">
        <v>1907000</v>
      </c>
      <c r="H176" s="363">
        <v>3</v>
      </c>
      <c r="I176" s="361">
        <f>G176*H176</f>
        <v>5721000</v>
      </c>
      <c r="J176" s="363">
        <f>G176*0.6</f>
        <v>1144200</v>
      </c>
      <c r="K176" s="363"/>
      <c r="L176" s="361">
        <f>ROUNDDOWN((G176*52/209*1.5)+(G176*52/209*1.5)+(G176*52/209*1.5),-1)</f>
        <v>2135110</v>
      </c>
      <c r="M176" s="363"/>
      <c r="N176" s="361">
        <f t="shared" si="29"/>
        <v>3279310</v>
      </c>
      <c r="O176" s="361">
        <f t="shared" si="33"/>
        <v>9000310</v>
      </c>
      <c r="P176" s="361"/>
      <c r="Q176" s="361"/>
      <c r="R176" s="361"/>
      <c r="S176" s="361"/>
      <c r="T176" s="363"/>
      <c r="U176" s="363"/>
      <c r="V176" s="363"/>
      <c r="W176" s="363"/>
      <c r="X176" s="361">
        <f>X175</f>
        <v>225670</v>
      </c>
      <c r="Y176" s="361">
        <f aca="true" t="shared" si="42" ref="Y176:AF176">Y175</f>
        <v>14780</v>
      </c>
      <c r="Z176" s="361">
        <f t="shared" si="42"/>
        <v>344250</v>
      </c>
      <c r="AA176" s="361">
        <f t="shared" si="42"/>
        <v>2550000</v>
      </c>
      <c r="AB176" s="361">
        <f t="shared" si="42"/>
        <v>42070</v>
      </c>
      <c r="AC176" s="361">
        <f t="shared" si="42"/>
        <v>61200</v>
      </c>
      <c r="AD176" s="361">
        <f t="shared" si="42"/>
        <v>2550000</v>
      </c>
      <c r="AE176" s="361">
        <f t="shared" si="42"/>
        <v>59670</v>
      </c>
      <c r="AF176" s="361">
        <f t="shared" si="42"/>
        <v>705570</v>
      </c>
      <c r="AG176" s="372" t="e">
        <f>INT(((O176+#REF!)/12)/100)*100</f>
        <v>#REF!</v>
      </c>
      <c r="AH176" s="364" t="e">
        <f t="shared" si="39"/>
        <v>#REF!</v>
      </c>
      <c r="AI176" s="358"/>
      <c r="AJ176" s="43"/>
    </row>
    <row r="177" spans="1:36" ht="24" customHeight="1">
      <c r="A177" s="489" t="s">
        <v>321</v>
      </c>
      <c r="B177" s="490"/>
      <c r="C177" s="490"/>
      <c r="D177" s="490"/>
      <c r="E177" s="490"/>
      <c r="F177" s="490"/>
      <c r="G177" s="491"/>
      <c r="H177" s="368"/>
      <c r="I177" s="270">
        <f>(I176+I174+I171)-(I170+I172+I173+I175)</f>
        <v>1029000</v>
      </c>
      <c r="J177" s="270">
        <f>(J176+J174+J171)-(J170+J172+J173+J175)</f>
        <v>184800</v>
      </c>
      <c r="K177" s="270">
        <f>(K176+K174+K171)-(K170+K172+K173+K175)</f>
        <v>0</v>
      </c>
      <c r="L177" s="270">
        <f>(L176+L174+L171)-(L170+L172+L173+L175)</f>
        <v>394690</v>
      </c>
      <c r="M177" s="270">
        <f>(M176+M174+M171)-(M170+M172+M173+M175)</f>
        <v>0</v>
      </c>
      <c r="N177" s="269">
        <f t="shared" si="29"/>
        <v>579490</v>
      </c>
      <c r="O177" s="269">
        <f t="shared" si="33"/>
        <v>1608490</v>
      </c>
      <c r="P177" s="269"/>
      <c r="Q177" s="269"/>
      <c r="R177" s="269"/>
      <c r="S177" s="269"/>
      <c r="T177" s="270"/>
      <c r="U177" s="270"/>
      <c r="V177" s="270"/>
      <c r="W177" s="270"/>
      <c r="X177" s="270">
        <f aca="true" t="shared" si="43" ref="X177:AH177">(X176+X174+X171)-(X170+X172+X173+X175)</f>
        <v>0</v>
      </c>
      <c r="Y177" s="270">
        <f t="shared" si="43"/>
        <v>0</v>
      </c>
      <c r="Z177" s="270">
        <f t="shared" si="43"/>
        <v>0</v>
      </c>
      <c r="AA177" s="270">
        <f t="shared" si="43"/>
        <v>0</v>
      </c>
      <c r="AB177" s="270">
        <f t="shared" si="43"/>
        <v>0</v>
      </c>
      <c r="AC177" s="270">
        <f t="shared" si="43"/>
        <v>0</v>
      </c>
      <c r="AD177" s="270">
        <f t="shared" si="43"/>
        <v>0</v>
      </c>
      <c r="AE177" s="270">
        <f t="shared" si="43"/>
        <v>0</v>
      </c>
      <c r="AF177" s="270">
        <f t="shared" si="43"/>
        <v>0</v>
      </c>
      <c r="AG177" s="270" t="e">
        <f t="shared" si="43"/>
        <v>#REF!</v>
      </c>
      <c r="AH177" s="270" t="e">
        <f t="shared" si="43"/>
        <v>#REF!</v>
      </c>
      <c r="AI177" s="358"/>
      <c r="AJ177" s="43"/>
    </row>
    <row r="178" spans="1:36" ht="24" customHeight="1">
      <c r="A178" s="503" t="s">
        <v>322</v>
      </c>
      <c r="B178" s="506" t="s">
        <v>269</v>
      </c>
      <c r="C178" s="509" t="s">
        <v>313</v>
      </c>
      <c r="D178" s="509" t="s">
        <v>278</v>
      </c>
      <c r="E178" s="366"/>
      <c r="F178" s="335">
        <v>6</v>
      </c>
      <c r="G178" s="335">
        <v>1860000</v>
      </c>
      <c r="H178" s="335">
        <v>2</v>
      </c>
      <c r="I178" s="335">
        <v>3720000</v>
      </c>
      <c r="J178" s="335"/>
      <c r="K178" s="335"/>
      <c r="L178" s="335">
        <v>1468420</v>
      </c>
      <c r="M178" s="335"/>
      <c r="N178" s="279">
        <f t="shared" si="29"/>
        <v>1468420</v>
      </c>
      <c r="O178" s="279">
        <f t="shared" si="33"/>
        <v>5188420</v>
      </c>
      <c r="P178" s="279"/>
      <c r="Q178" s="279"/>
      <c r="R178" s="279"/>
      <c r="S178" s="279"/>
      <c r="T178" s="335"/>
      <c r="U178" s="335"/>
      <c r="V178" s="335"/>
      <c r="W178" s="335"/>
      <c r="X178" s="335">
        <v>171100</v>
      </c>
      <c r="Y178" s="335">
        <v>11200</v>
      </c>
      <c r="Z178" s="335">
        <v>228890</v>
      </c>
      <c r="AA178" s="335">
        <v>2900000</v>
      </c>
      <c r="AB178" s="335">
        <v>31900</v>
      </c>
      <c r="AC178" s="335">
        <v>46400</v>
      </c>
      <c r="AD178" s="335">
        <v>2550000</v>
      </c>
      <c r="AE178" s="335">
        <v>39780</v>
      </c>
      <c r="AF178" s="335">
        <v>497370</v>
      </c>
      <c r="AG178" s="335">
        <v>455700</v>
      </c>
      <c r="AH178" s="357">
        <f aca="true" t="shared" si="44" ref="AH178:AH183">O178+AF178+AG178</f>
        <v>6141490</v>
      </c>
      <c r="AI178" s="358"/>
      <c r="AJ178" s="43"/>
    </row>
    <row r="179" spans="1:36" ht="24" customHeight="1">
      <c r="A179" s="504"/>
      <c r="B179" s="507"/>
      <c r="C179" s="510"/>
      <c r="D179" s="511"/>
      <c r="E179" s="369"/>
      <c r="F179" s="363">
        <v>7</v>
      </c>
      <c r="G179" s="363">
        <v>1907000</v>
      </c>
      <c r="H179" s="363">
        <v>2</v>
      </c>
      <c r="I179" s="363">
        <f>G179*H179</f>
        <v>3814000</v>
      </c>
      <c r="J179" s="363"/>
      <c r="K179" s="363"/>
      <c r="L179" s="361">
        <f>ROUNDDOWN((G179*55/209*1.5)+(G179*55/209*1.5),-1)</f>
        <v>1505520</v>
      </c>
      <c r="M179" s="363"/>
      <c r="N179" s="361">
        <f t="shared" si="29"/>
        <v>1505520</v>
      </c>
      <c r="O179" s="361">
        <f t="shared" si="33"/>
        <v>5319520</v>
      </c>
      <c r="P179" s="361"/>
      <c r="Q179" s="361"/>
      <c r="R179" s="361"/>
      <c r="S179" s="361"/>
      <c r="T179" s="363"/>
      <c r="U179" s="363"/>
      <c r="V179" s="363"/>
      <c r="W179" s="363"/>
      <c r="X179" s="361">
        <f>X178</f>
        <v>171100</v>
      </c>
      <c r="Y179" s="361">
        <f aca="true" t="shared" si="45" ref="Y179:AF179">Y178</f>
        <v>11200</v>
      </c>
      <c r="Z179" s="361">
        <f t="shared" si="45"/>
        <v>228890</v>
      </c>
      <c r="AA179" s="361">
        <f t="shared" si="45"/>
        <v>2900000</v>
      </c>
      <c r="AB179" s="361">
        <f t="shared" si="45"/>
        <v>31900</v>
      </c>
      <c r="AC179" s="361">
        <f t="shared" si="45"/>
        <v>46400</v>
      </c>
      <c r="AD179" s="361">
        <f t="shared" si="45"/>
        <v>2550000</v>
      </c>
      <c r="AE179" s="361">
        <f t="shared" si="45"/>
        <v>39780</v>
      </c>
      <c r="AF179" s="361">
        <f t="shared" si="45"/>
        <v>497370</v>
      </c>
      <c r="AG179" s="372" t="e">
        <f>INT(((O179+#REF!)/12)/100)*100</f>
        <v>#REF!</v>
      </c>
      <c r="AH179" s="364" t="e">
        <f t="shared" si="44"/>
        <v>#REF!</v>
      </c>
      <c r="AI179" s="358"/>
      <c r="AJ179" s="43"/>
    </row>
    <row r="180" spans="1:36" ht="24" customHeight="1">
      <c r="A180" s="504"/>
      <c r="B180" s="507"/>
      <c r="C180" s="355" t="s">
        <v>313</v>
      </c>
      <c r="D180" s="509" t="s">
        <v>317</v>
      </c>
      <c r="E180" s="366"/>
      <c r="F180" s="335">
        <v>6</v>
      </c>
      <c r="G180" s="335">
        <v>1860000</v>
      </c>
      <c r="H180" s="335">
        <v>2</v>
      </c>
      <c r="I180" s="335">
        <v>3720000</v>
      </c>
      <c r="J180" s="335"/>
      <c r="K180" s="335"/>
      <c r="L180" s="335">
        <v>1468420</v>
      </c>
      <c r="M180" s="335"/>
      <c r="N180" s="279">
        <f t="shared" si="29"/>
        <v>1468420</v>
      </c>
      <c r="O180" s="279">
        <f t="shared" si="33"/>
        <v>5188420</v>
      </c>
      <c r="P180" s="279"/>
      <c r="Q180" s="279"/>
      <c r="R180" s="279"/>
      <c r="S180" s="279"/>
      <c r="T180" s="335"/>
      <c r="U180" s="335"/>
      <c r="V180" s="335"/>
      <c r="W180" s="335"/>
      <c r="X180" s="335">
        <v>168150</v>
      </c>
      <c r="Y180" s="335">
        <v>11010</v>
      </c>
      <c r="Z180" s="335">
        <v>237600</v>
      </c>
      <c r="AA180" s="335">
        <v>2850000</v>
      </c>
      <c r="AB180" s="335">
        <v>31350</v>
      </c>
      <c r="AC180" s="335">
        <v>45600</v>
      </c>
      <c r="AD180" s="335">
        <v>2550000</v>
      </c>
      <c r="AE180" s="335">
        <v>39780</v>
      </c>
      <c r="AF180" s="335">
        <v>502140</v>
      </c>
      <c r="AG180" s="335">
        <v>455700</v>
      </c>
      <c r="AH180" s="357">
        <f t="shared" si="44"/>
        <v>6146260</v>
      </c>
      <c r="AI180" s="358"/>
      <c r="AJ180" s="43"/>
    </row>
    <row r="181" spans="1:36" ht="24" customHeight="1">
      <c r="A181" s="504"/>
      <c r="B181" s="507"/>
      <c r="C181" s="355" t="s">
        <v>314</v>
      </c>
      <c r="D181" s="510"/>
      <c r="E181" s="370"/>
      <c r="F181" s="363">
        <v>8</v>
      </c>
      <c r="G181" s="363">
        <v>1969000</v>
      </c>
      <c r="H181" s="363">
        <v>2</v>
      </c>
      <c r="I181" s="363">
        <f>G181*H181</f>
        <v>3938000</v>
      </c>
      <c r="J181" s="363"/>
      <c r="K181" s="363"/>
      <c r="L181" s="361">
        <f>ROUNDDOWN((G181*55/209*1.5)+(G181*55/209*1.5),-1)</f>
        <v>1554470</v>
      </c>
      <c r="M181" s="363"/>
      <c r="N181" s="361">
        <f t="shared" si="29"/>
        <v>1554470</v>
      </c>
      <c r="O181" s="361">
        <f t="shared" si="33"/>
        <v>5492470</v>
      </c>
      <c r="P181" s="361"/>
      <c r="Q181" s="361"/>
      <c r="R181" s="361"/>
      <c r="S181" s="361"/>
      <c r="T181" s="363"/>
      <c r="U181" s="363"/>
      <c r="V181" s="363"/>
      <c r="W181" s="363"/>
      <c r="X181" s="361">
        <f>X180</f>
        <v>168150</v>
      </c>
      <c r="Y181" s="361">
        <f aca="true" t="shared" si="46" ref="Y181:AF181">Y180</f>
        <v>11010</v>
      </c>
      <c r="Z181" s="361">
        <f t="shared" si="46"/>
        <v>237600</v>
      </c>
      <c r="AA181" s="361">
        <f t="shared" si="46"/>
        <v>2850000</v>
      </c>
      <c r="AB181" s="361">
        <f t="shared" si="46"/>
        <v>31350</v>
      </c>
      <c r="AC181" s="361">
        <f t="shared" si="46"/>
        <v>45600</v>
      </c>
      <c r="AD181" s="361">
        <f t="shared" si="46"/>
        <v>2550000</v>
      </c>
      <c r="AE181" s="361">
        <f t="shared" si="46"/>
        <v>39780</v>
      </c>
      <c r="AF181" s="361">
        <f t="shared" si="46"/>
        <v>502140</v>
      </c>
      <c r="AG181" s="372" t="e">
        <f>INT(((O181+#REF!)/12)/100)*100</f>
        <v>#REF!</v>
      </c>
      <c r="AH181" s="364" t="e">
        <f t="shared" si="44"/>
        <v>#REF!</v>
      </c>
      <c r="AI181" s="358"/>
      <c r="AJ181" s="43"/>
    </row>
    <row r="182" spans="1:36" ht="24" customHeight="1">
      <c r="A182" s="504"/>
      <c r="B182" s="507"/>
      <c r="C182" s="355" t="s">
        <v>313</v>
      </c>
      <c r="D182" s="509" t="s">
        <v>318</v>
      </c>
      <c r="E182" s="366"/>
      <c r="F182" s="335">
        <v>5</v>
      </c>
      <c r="G182" s="335">
        <v>1755000</v>
      </c>
      <c r="H182" s="335">
        <v>2</v>
      </c>
      <c r="I182" s="335">
        <v>3510000</v>
      </c>
      <c r="J182" s="335"/>
      <c r="K182" s="335"/>
      <c r="L182" s="335">
        <v>1385520</v>
      </c>
      <c r="M182" s="335"/>
      <c r="N182" s="279">
        <f t="shared" si="29"/>
        <v>1385520</v>
      </c>
      <c r="O182" s="279">
        <f t="shared" si="33"/>
        <v>4895520</v>
      </c>
      <c r="P182" s="279"/>
      <c r="Q182" s="279"/>
      <c r="R182" s="279"/>
      <c r="S182" s="279"/>
      <c r="T182" s="335"/>
      <c r="U182" s="335"/>
      <c r="V182" s="335"/>
      <c r="W182" s="335"/>
      <c r="X182" s="335">
        <v>150450</v>
      </c>
      <c r="Y182" s="335">
        <v>9850</v>
      </c>
      <c r="Z182" s="335">
        <v>229500</v>
      </c>
      <c r="AA182" s="335">
        <v>2550000</v>
      </c>
      <c r="AB182" s="335">
        <v>28050</v>
      </c>
      <c r="AC182" s="335">
        <v>40800</v>
      </c>
      <c r="AD182" s="335">
        <v>2550000</v>
      </c>
      <c r="AE182" s="335">
        <v>39780</v>
      </c>
      <c r="AF182" s="335">
        <v>470380</v>
      </c>
      <c r="AG182" s="335">
        <v>431290</v>
      </c>
      <c r="AH182" s="357">
        <f t="shared" si="44"/>
        <v>5797190</v>
      </c>
      <c r="AI182" s="358"/>
      <c r="AJ182" s="43"/>
    </row>
    <row r="183" spans="1:44" ht="24" customHeight="1">
      <c r="A183" s="505"/>
      <c r="B183" s="508"/>
      <c r="C183" s="355" t="s">
        <v>314</v>
      </c>
      <c r="D183" s="510"/>
      <c r="E183" s="370"/>
      <c r="F183" s="363">
        <v>7</v>
      </c>
      <c r="G183" s="363">
        <v>1907000</v>
      </c>
      <c r="H183" s="363">
        <v>2</v>
      </c>
      <c r="I183" s="363">
        <f>G183*H183</f>
        <v>3814000</v>
      </c>
      <c r="J183" s="363"/>
      <c r="K183" s="363"/>
      <c r="L183" s="361">
        <f>ROUNDDOWN((G183*55/209*1.5)+(G183*55/209*1.5),-1)</f>
        <v>1505520</v>
      </c>
      <c r="M183" s="363"/>
      <c r="N183" s="361">
        <f t="shared" si="29"/>
        <v>1505520</v>
      </c>
      <c r="O183" s="361">
        <f t="shared" si="33"/>
        <v>5319520</v>
      </c>
      <c r="P183" s="361"/>
      <c r="Q183" s="361"/>
      <c r="R183" s="361"/>
      <c r="S183" s="361"/>
      <c r="T183" s="363"/>
      <c r="U183" s="363"/>
      <c r="V183" s="363"/>
      <c r="W183" s="363"/>
      <c r="X183" s="361">
        <f>X182</f>
        <v>150450</v>
      </c>
      <c r="Y183" s="361">
        <f aca="true" t="shared" si="47" ref="Y183:AF183">Y182</f>
        <v>9850</v>
      </c>
      <c r="Z183" s="361">
        <f t="shared" si="47"/>
        <v>229500</v>
      </c>
      <c r="AA183" s="361">
        <f t="shared" si="47"/>
        <v>2550000</v>
      </c>
      <c r="AB183" s="361">
        <f t="shared" si="47"/>
        <v>28050</v>
      </c>
      <c r="AC183" s="361">
        <f t="shared" si="47"/>
        <v>40800</v>
      </c>
      <c r="AD183" s="361">
        <f t="shared" si="47"/>
        <v>2550000</v>
      </c>
      <c r="AE183" s="361">
        <f t="shared" si="47"/>
        <v>39780</v>
      </c>
      <c r="AF183" s="361">
        <f t="shared" si="47"/>
        <v>470380</v>
      </c>
      <c r="AG183" s="372" t="e">
        <f>INT(((O183+#REF!)/12)/100)*100</f>
        <v>#REF!</v>
      </c>
      <c r="AH183" s="364" t="e">
        <f t="shared" si="44"/>
        <v>#REF!</v>
      </c>
      <c r="AI183" s="357" t="e">
        <f>T183+#REF!+AH183</f>
        <v>#REF!</v>
      </c>
      <c r="AJ183" s="357"/>
      <c r="AK183" s="357" t="e">
        <f>V183+AG183+AI183</f>
        <v>#REF!</v>
      </c>
      <c r="AL183" s="357" t="e">
        <f>W183+AH183+AK183</f>
        <v>#REF!</v>
      </c>
      <c r="AM183" s="357" t="e">
        <f>#REF!+AI183+AL183</f>
        <v>#REF!</v>
      </c>
      <c r="AN183" s="357" t="e">
        <f>X183+AK183+AM183</f>
        <v>#REF!</v>
      </c>
      <c r="AO183" s="357" t="e">
        <f>Y183+AL183+AN183</f>
        <v>#REF!</v>
      </c>
      <c r="AP183" s="357" t="e">
        <f>Z183+AM183+AO183</f>
        <v>#REF!</v>
      </c>
      <c r="AQ183" s="357" t="e">
        <f>AA183+AN183+AP183</f>
        <v>#REF!</v>
      </c>
      <c r="AR183" s="357" t="e">
        <f>AB183+AO183+AQ183</f>
        <v>#REF!</v>
      </c>
    </row>
    <row r="184" spans="1:36" ht="24" customHeight="1">
      <c r="A184" s="489" t="s">
        <v>323</v>
      </c>
      <c r="B184" s="490"/>
      <c r="C184" s="490"/>
      <c r="D184" s="490"/>
      <c r="E184" s="490"/>
      <c r="F184" s="490"/>
      <c r="G184" s="491"/>
      <c r="H184" s="368"/>
      <c r="I184" s="270">
        <f>(I183+I181+I179)-(I178+I180+I182)</f>
        <v>616000</v>
      </c>
      <c r="J184" s="270">
        <f aca="true" t="shared" si="48" ref="J184:AH184">(J183+J181+J179)-(J178+J180+J182)</f>
        <v>0</v>
      </c>
      <c r="K184" s="270">
        <f t="shared" si="48"/>
        <v>0</v>
      </c>
      <c r="L184" s="270">
        <f t="shared" si="48"/>
        <v>243150</v>
      </c>
      <c r="M184" s="270">
        <f t="shared" si="48"/>
        <v>0</v>
      </c>
      <c r="N184" s="270">
        <f t="shared" si="48"/>
        <v>243150</v>
      </c>
      <c r="O184" s="270">
        <f t="shared" si="48"/>
        <v>859150</v>
      </c>
      <c r="P184" s="270"/>
      <c r="Q184" s="270"/>
      <c r="R184" s="270"/>
      <c r="S184" s="270"/>
      <c r="T184" s="270">
        <f t="shared" si="48"/>
        <v>0</v>
      </c>
      <c r="U184" s="270"/>
      <c r="V184" s="270">
        <f t="shared" si="48"/>
        <v>0</v>
      </c>
      <c r="W184" s="270">
        <f t="shared" si="48"/>
        <v>0</v>
      </c>
      <c r="X184" s="270">
        <f t="shared" si="48"/>
        <v>0</v>
      </c>
      <c r="Y184" s="270">
        <f t="shared" si="48"/>
        <v>0</v>
      </c>
      <c r="Z184" s="270">
        <f t="shared" si="48"/>
        <v>0</v>
      </c>
      <c r="AA184" s="270">
        <f t="shared" si="48"/>
        <v>0</v>
      </c>
      <c r="AB184" s="270">
        <f t="shared" si="48"/>
        <v>0</v>
      </c>
      <c r="AC184" s="270">
        <f t="shared" si="48"/>
        <v>0</v>
      </c>
      <c r="AD184" s="270">
        <f t="shared" si="48"/>
        <v>0</v>
      </c>
      <c r="AE184" s="270">
        <f t="shared" si="48"/>
        <v>0</v>
      </c>
      <c r="AF184" s="270">
        <f t="shared" si="48"/>
        <v>0</v>
      </c>
      <c r="AG184" s="270" t="e">
        <f t="shared" si="48"/>
        <v>#REF!</v>
      </c>
      <c r="AH184" s="270" t="e">
        <f t="shared" si="48"/>
        <v>#REF!</v>
      </c>
      <c r="AI184" s="358"/>
      <c r="AJ184" s="43"/>
    </row>
    <row r="185" spans="1:36" ht="24" customHeight="1">
      <c r="A185" s="492" t="s">
        <v>324</v>
      </c>
      <c r="B185" s="495" t="s">
        <v>228</v>
      </c>
      <c r="C185" s="492" t="s">
        <v>314</v>
      </c>
      <c r="D185" s="373" t="s">
        <v>236</v>
      </c>
      <c r="E185" s="373"/>
      <c r="F185" s="374">
        <v>7</v>
      </c>
      <c r="G185" s="375"/>
      <c r="H185" s="376"/>
      <c r="I185" s="377">
        <f aca="true" t="shared" si="49" ref="I185:AH185">SUM((I179+I171+I164+I158)-(I157+I162+I163+I170+I178))</f>
        <v>481000</v>
      </c>
      <c r="J185" s="377">
        <f t="shared" si="49"/>
        <v>91200</v>
      </c>
      <c r="K185" s="377">
        <f t="shared" si="49"/>
        <v>0</v>
      </c>
      <c r="L185" s="377">
        <f t="shared" si="49"/>
        <v>103040</v>
      </c>
      <c r="M185" s="377">
        <f t="shared" si="49"/>
        <v>0</v>
      </c>
      <c r="N185" s="377">
        <f t="shared" si="49"/>
        <v>194240</v>
      </c>
      <c r="O185" s="377">
        <f t="shared" si="49"/>
        <v>675240</v>
      </c>
      <c r="P185" s="377"/>
      <c r="Q185" s="377"/>
      <c r="R185" s="377"/>
      <c r="S185" s="377"/>
      <c r="T185" s="377">
        <f t="shared" si="49"/>
        <v>0</v>
      </c>
      <c r="U185" s="377"/>
      <c r="V185" s="377">
        <f t="shared" si="49"/>
        <v>0</v>
      </c>
      <c r="W185" s="377">
        <f t="shared" si="49"/>
        <v>0</v>
      </c>
      <c r="X185" s="377">
        <f t="shared" si="49"/>
        <v>0</v>
      </c>
      <c r="Y185" s="377">
        <f t="shared" si="49"/>
        <v>0</v>
      </c>
      <c r="Z185" s="377">
        <f t="shared" si="49"/>
        <v>0</v>
      </c>
      <c r="AA185" s="377">
        <f t="shared" si="49"/>
        <v>0</v>
      </c>
      <c r="AB185" s="377">
        <f t="shared" si="49"/>
        <v>0</v>
      </c>
      <c r="AC185" s="377">
        <f t="shared" si="49"/>
        <v>0</v>
      </c>
      <c r="AD185" s="377">
        <f t="shared" si="49"/>
        <v>0</v>
      </c>
      <c r="AE185" s="377">
        <f t="shared" si="49"/>
        <v>0</v>
      </c>
      <c r="AF185" s="377">
        <f t="shared" si="49"/>
        <v>0</v>
      </c>
      <c r="AG185" s="377" t="e">
        <f t="shared" si="49"/>
        <v>#REF!</v>
      </c>
      <c r="AH185" s="377" t="e">
        <f t="shared" si="49"/>
        <v>#REF!</v>
      </c>
      <c r="AI185" s="378"/>
      <c r="AJ185" s="43"/>
    </row>
    <row r="186" spans="1:36" ht="24" customHeight="1">
      <c r="A186" s="493"/>
      <c r="B186" s="496"/>
      <c r="C186" s="493"/>
      <c r="D186" s="373" t="s">
        <v>237</v>
      </c>
      <c r="E186" s="373"/>
      <c r="F186" s="374">
        <v>8</v>
      </c>
      <c r="G186" s="375"/>
      <c r="H186" s="376"/>
      <c r="I186" s="375">
        <f>SUM(I181+I174+I166+I160)-(I159+I165+I172+I173+I180)</f>
        <v>1748000</v>
      </c>
      <c r="J186" s="375">
        <f aca="true" t="shared" si="50" ref="J186:AH186">SUM(J181+J174+J166+J160)-(J159+J165+J172+J173+J180)</f>
        <v>156600</v>
      </c>
      <c r="K186" s="375">
        <f t="shared" si="50"/>
        <v>0</v>
      </c>
      <c r="L186" s="375">
        <f t="shared" si="50"/>
        <v>675100</v>
      </c>
      <c r="M186" s="375">
        <f t="shared" si="50"/>
        <v>0</v>
      </c>
      <c r="N186" s="375">
        <f t="shared" si="50"/>
        <v>831700</v>
      </c>
      <c r="O186" s="375">
        <f t="shared" si="50"/>
        <v>2579700</v>
      </c>
      <c r="P186" s="375"/>
      <c r="Q186" s="375"/>
      <c r="R186" s="375"/>
      <c r="S186" s="375"/>
      <c r="T186" s="375">
        <f t="shared" si="50"/>
        <v>0</v>
      </c>
      <c r="U186" s="375"/>
      <c r="V186" s="375">
        <f t="shared" si="50"/>
        <v>0</v>
      </c>
      <c r="W186" s="375">
        <f t="shared" si="50"/>
        <v>0</v>
      </c>
      <c r="X186" s="375">
        <f t="shared" si="50"/>
        <v>0</v>
      </c>
      <c r="Y186" s="375">
        <f t="shared" si="50"/>
        <v>0</v>
      </c>
      <c r="Z186" s="375">
        <f t="shared" si="50"/>
        <v>0</v>
      </c>
      <c r="AA186" s="375">
        <f t="shared" si="50"/>
        <v>0</v>
      </c>
      <c r="AB186" s="375">
        <f t="shared" si="50"/>
        <v>0</v>
      </c>
      <c r="AC186" s="375">
        <f t="shared" si="50"/>
        <v>0</v>
      </c>
      <c r="AD186" s="375">
        <f t="shared" si="50"/>
        <v>0</v>
      </c>
      <c r="AE186" s="375">
        <f t="shared" si="50"/>
        <v>0</v>
      </c>
      <c r="AF186" s="375">
        <f t="shared" si="50"/>
        <v>0</v>
      </c>
      <c r="AG186" s="375" t="e">
        <f t="shared" si="50"/>
        <v>#REF!</v>
      </c>
      <c r="AH186" s="375" t="e">
        <f t="shared" si="50"/>
        <v>#REF!</v>
      </c>
      <c r="AI186" s="378"/>
      <c r="AJ186" s="43"/>
    </row>
    <row r="187" spans="1:36" ht="24" customHeight="1">
      <c r="A187" s="494"/>
      <c r="B187" s="497"/>
      <c r="C187" s="494"/>
      <c r="D187" s="373" t="s">
        <v>238</v>
      </c>
      <c r="E187" s="373"/>
      <c r="F187" s="374">
        <v>7</v>
      </c>
      <c r="G187" s="375"/>
      <c r="H187" s="376"/>
      <c r="I187" s="375">
        <f aca="true" t="shared" si="51" ref="I187:AH187">SUM(I183+I176+I168)-(I167+I175+I182)</f>
        <v>1075000</v>
      </c>
      <c r="J187" s="375">
        <f t="shared" si="51"/>
        <v>91200</v>
      </c>
      <c r="K187" s="375">
        <f t="shared" si="51"/>
        <v>0</v>
      </c>
      <c r="L187" s="375">
        <f t="shared" si="51"/>
        <v>410790</v>
      </c>
      <c r="M187" s="375">
        <f t="shared" si="51"/>
        <v>0</v>
      </c>
      <c r="N187" s="375">
        <f t="shared" si="51"/>
        <v>501990</v>
      </c>
      <c r="O187" s="375">
        <f t="shared" si="51"/>
        <v>1576990</v>
      </c>
      <c r="P187" s="375"/>
      <c r="Q187" s="375"/>
      <c r="R187" s="375"/>
      <c r="S187" s="375"/>
      <c r="T187" s="375">
        <f t="shared" si="51"/>
        <v>0</v>
      </c>
      <c r="U187" s="375"/>
      <c r="V187" s="375">
        <f t="shared" si="51"/>
        <v>0</v>
      </c>
      <c r="W187" s="375">
        <f t="shared" si="51"/>
        <v>0</v>
      </c>
      <c r="X187" s="375">
        <f t="shared" si="51"/>
        <v>0</v>
      </c>
      <c r="Y187" s="375">
        <f t="shared" si="51"/>
        <v>0</v>
      </c>
      <c r="Z187" s="375">
        <f t="shared" si="51"/>
        <v>0</v>
      </c>
      <c r="AA187" s="375">
        <f t="shared" si="51"/>
        <v>0</v>
      </c>
      <c r="AB187" s="375">
        <f t="shared" si="51"/>
        <v>0</v>
      </c>
      <c r="AC187" s="375">
        <f t="shared" si="51"/>
        <v>0</v>
      </c>
      <c r="AD187" s="375">
        <f t="shared" si="51"/>
        <v>0</v>
      </c>
      <c r="AE187" s="375">
        <f t="shared" si="51"/>
        <v>0</v>
      </c>
      <c r="AF187" s="375">
        <f t="shared" si="51"/>
        <v>0</v>
      </c>
      <c r="AG187" s="375" t="e">
        <f t="shared" si="51"/>
        <v>#REF!</v>
      </c>
      <c r="AH187" s="375" t="e">
        <f t="shared" si="51"/>
        <v>#REF!</v>
      </c>
      <c r="AI187" s="378"/>
      <c r="AJ187" s="43"/>
    </row>
    <row r="188" spans="1:36" ht="24" customHeight="1">
      <c r="A188" s="498" t="s">
        <v>325</v>
      </c>
      <c r="B188" s="498"/>
      <c r="C188" s="498"/>
      <c r="D188" s="498"/>
      <c r="E188" s="498"/>
      <c r="F188" s="498"/>
      <c r="G188" s="499"/>
      <c r="H188" s="376"/>
      <c r="I188" s="375">
        <f>SUM(I185:I187)</f>
        <v>3304000</v>
      </c>
      <c r="J188" s="375">
        <f aca="true" t="shared" si="52" ref="J188:AH188">SUM(J185:J187)</f>
        <v>339000</v>
      </c>
      <c r="K188" s="375">
        <f t="shared" si="52"/>
        <v>0</v>
      </c>
      <c r="L188" s="375">
        <f t="shared" si="52"/>
        <v>1188930</v>
      </c>
      <c r="M188" s="375">
        <f t="shared" si="52"/>
        <v>0</v>
      </c>
      <c r="N188" s="375">
        <f t="shared" si="52"/>
        <v>1527930</v>
      </c>
      <c r="O188" s="375">
        <f t="shared" si="52"/>
        <v>4831930</v>
      </c>
      <c r="P188" s="375"/>
      <c r="Q188" s="375"/>
      <c r="R188" s="375"/>
      <c r="S188" s="375"/>
      <c r="T188" s="375">
        <f t="shared" si="52"/>
        <v>0</v>
      </c>
      <c r="U188" s="375"/>
      <c r="V188" s="375">
        <f t="shared" si="52"/>
        <v>0</v>
      </c>
      <c r="W188" s="375">
        <f t="shared" si="52"/>
        <v>0</v>
      </c>
      <c r="X188" s="375">
        <f t="shared" si="52"/>
        <v>0</v>
      </c>
      <c r="Y188" s="375">
        <f t="shared" si="52"/>
        <v>0</v>
      </c>
      <c r="Z188" s="375">
        <f t="shared" si="52"/>
        <v>0</v>
      </c>
      <c r="AA188" s="375">
        <f t="shared" si="52"/>
        <v>0</v>
      </c>
      <c r="AB188" s="375">
        <f t="shared" si="52"/>
        <v>0</v>
      </c>
      <c r="AC188" s="375">
        <f t="shared" si="52"/>
        <v>0</v>
      </c>
      <c r="AD188" s="375">
        <f t="shared" si="52"/>
        <v>0</v>
      </c>
      <c r="AE188" s="375">
        <f t="shared" si="52"/>
        <v>0</v>
      </c>
      <c r="AF188" s="375">
        <f t="shared" si="52"/>
        <v>0</v>
      </c>
      <c r="AG188" s="375" t="e">
        <f t="shared" si="52"/>
        <v>#REF!</v>
      </c>
      <c r="AH188" s="375" t="e">
        <f t="shared" si="52"/>
        <v>#REF!</v>
      </c>
      <c r="AI188" s="378"/>
      <c r="AJ188" s="43"/>
    </row>
    <row r="189" spans="1:36" ht="31.5" customHeight="1" thickBot="1">
      <c r="A189" s="500" t="s">
        <v>326</v>
      </c>
      <c r="B189" s="501"/>
      <c r="C189" s="501"/>
      <c r="D189" s="501"/>
      <c r="E189" s="501"/>
      <c r="F189" s="501"/>
      <c r="G189" s="502"/>
      <c r="H189" s="379"/>
      <c r="I189" s="380">
        <f aca="true" t="shared" si="53" ref="I189:AH189">SUM(I161,I169,I177,I184)</f>
        <v>3304000</v>
      </c>
      <c r="J189" s="380">
        <f t="shared" si="53"/>
        <v>339000</v>
      </c>
      <c r="K189" s="380">
        <f t="shared" si="53"/>
        <v>0</v>
      </c>
      <c r="L189" s="380">
        <f t="shared" si="53"/>
        <v>1188930</v>
      </c>
      <c r="M189" s="380">
        <f t="shared" si="53"/>
        <v>0</v>
      </c>
      <c r="N189" s="380">
        <f t="shared" si="53"/>
        <v>1527930</v>
      </c>
      <c r="O189" s="380">
        <f t="shared" si="53"/>
        <v>4831930</v>
      </c>
      <c r="P189" s="380"/>
      <c r="Q189" s="380"/>
      <c r="R189" s="380"/>
      <c r="S189" s="380"/>
      <c r="T189" s="380">
        <f t="shared" si="53"/>
        <v>0</v>
      </c>
      <c r="U189" s="380"/>
      <c r="V189" s="380">
        <f t="shared" si="53"/>
        <v>0</v>
      </c>
      <c r="W189" s="380">
        <f t="shared" si="53"/>
        <v>0</v>
      </c>
      <c r="X189" s="380">
        <f t="shared" si="53"/>
        <v>0</v>
      </c>
      <c r="Y189" s="380">
        <f t="shared" si="53"/>
        <v>0</v>
      </c>
      <c r="Z189" s="380">
        <f t="shared" si="53"/>
        <v>0</v>
      </c>
      <c r="AA189" s="380">
        <f t="shared" si="53"/>
        <v>0</v>
      </c>
      <c r="AB189" s="380">
        <f t="shared" si="53"/>
        <v>0</v>
      </c>
      <c r="AC189" s="380">
        <f t="shared" si="53"/>
        <v>0</v>
      </c>
      <c r="AD189" s="380">
        <f t="shared" si="53"/>
        <v>0</v>
      </c>
      <c r="AE189" s="380">
        <f t="shared" si="53"/>
        <v>0</v>
      </c>
      <c r="AF189" s="380">
        <f t="shared" si="53"/>
        <v>0</v>
      </c>
      <c r="AG189" s="380" t="e">
        <f t="shared" si="53"/>
        <v>#REF!</v>
      </c>
      <c r="AH189" s="380" t="e">
        <f t="shared" si="53"/>
        <v>#REF!</v>
      </c>
      <c r="AI189" s="381"/>
      <c r="AJ189" s="43"/>
    </row>
    <row r="192" ht="14.25">
      <c r="AH192" s="241" t="e">
        <f>AH189+AH45</f>
        <v>#REF!</v>
      </c>
    </row>
  </sheetData>
  <mergeCells count="173">
    <mergeCell ref="A1:AI1"/>
    <mergeCell ref="A2:A4"/>
    <mergeCell ref="B2:B4"/>
    <mergeCell ref="C2:D4"/>
    <mergeCell ref="E2:E4"/>
    <mergeCell ref="F2:F4"/>
    <mergeCell ref="G2:G4"/>
    <mergeCell ref="H2:H4"/>
    <mergeCell ref="I2:I4"/>
    <mergeCell ref="J2:N2"/>
    <mergeCell ref="AH2:AI4"/>
    <mergeCell ref="AM2:AM3"/>
    <mergeCell ref="J3:N3"/>
    <mergeCell ref="AF3:AF4"/>
    <mergeCell ref="A5:A6"/>
    <mergeCell ref="C5:D5"/>
    <mergeCell ref="AH5:AI5"/>
    <mergeCell ref="C6:D6"/>
    <mergeCell ref="O2:O4"/>
    <mergeCell ref="T2:T4"/>
    <mergeCell ref="V2:V4"/>
    <mergeCell ref="W2:W4"/>
    <mergeCell ref="X2:AF2"/>
    <mergeCell ref="AG2:AG4"/>
    <mergeCell ref="A7:A8"/>
    <mergeCell ref="C7:D7"/>
    <mergeCell ref="AH7:AI7"/>
    <mergeCell ref="C8:D8"/>
    <mergeCell ref="AH8:AI8"/>
    <mergeCell ref="A9:A10"/>
    <mergeCell ref="C9:D9"/>
    <mergeCell ref="AH9:AI9"/>
    <mergeCell ref="C10:D10"/>
    <mergeCell ref="A15:A16"/>
    <mergeCell ref="C15:D15"/>
    <mergeCell ref="AH15:AI15"/>
    <mergeCell ref="C16:D16"/>
    <mergeCell ref="A17:A18"/>
    <mergeCell ref="C17:D17"/>
    <mergeCell ref="AH17:AI17"/>
    <mergeCell ref="C18:D18"/>
    <mergeCell ref="A11:A12"/>
    <mergeCell ref="C11:D11"/>
    <mergeCell ref="AH11:AI11"/>
    <mergeCell ref="C12:D12"/>
    <mergeCell ref="A13:A14"/>
    <mergeCell ref="C13:D13"/>
    <mergeCell ref="AH13:AI13"/>
    <mergeCell ref="C14:D14"/>
    <mergeCell ref="A23:A24"/>
    <mergeCell ref="C23:D23"/>
    <mergeCell ref="AH23:AI23"/>
    <mergeCell ref="C24:D24"/>
    <mergeCell ref="A25:A26"/>
    <mergeCell ref="C25:D25"/>
    <mergeCell ref="AH25:AI25"/>
    <mergeCell ref="C26:D26"/>
    <mergeCell ref="A19:A20"/>
    <mergeCell ref="C19:D19"/>
    <mergeCell ref="AH19:AI19"/>
    <mergeCell ref="C20:D20"/>
    <mergeCell ref="A21:A22"/>
    <mergeCell ref="C21:D21"/>
    <mergeCell ref="AH21:AI21"/>
    <mergeCell ref="C22:D22"/>
    <mergeCell ref="A31:A32"/>
    <mergeCell ref="C31:D31"/>
    <mergeCell ref="AH31:AI31"/>
    <mergeCell ref="C32:D32"/>
    <mergeCell ref="A33:A34"/>
    <mergeCell ref="C33:D33"/>
    <mergeCell ref="AH33:AI33"/>
    <mergeCell ref="C34:D34"/>
    <mergeCell ref="A27:A28"/>
    <mergeCell ref="C27:D27"/>
    <mergeCell ref="AH27:AI27"/>
    <mergeCell ref="C28:D28"/>
    <mergeCell ref="A29:A30"/>
    <mergeCell ref="C29:D29"/>
    <mergeCell ref="AH29:AI29"/>
    <mergeCell ref="C30:D30"/>
    <mergeCell ref="A39:A40"/>
    <mergeCell ref="C39:D39"/>
    <mergeCell ref="AH39:AI39"/>
    <mergeCell ref="C40:D40"/>
    <mergeCell ref="A41:A42"/>
    <mergeCell ref="C41:D41"/>
    <mergeCell ref="AH41:AI41"/>
    <mergeCell ref="C42:D42"/>
    <mergeCell ref="A35:A36"/>
    <mergeCell ref="C35:D35"/>
    <mergeCell ref="AH35:AI35"/>
    <mergeCell ref="C36:D36"/>
    <mergeCell ref="A37:A38"/>
    <mergeCell ref="C37:D37"/>
    <mergeCell ref="AH37:AI37"/>
    <mergeCell ref="C38:D38"/>
    <mergeCell ref="G47:H47"/>
    <mergeCell ref="J47:K47"/>
    <mergeCell ref="G48:H48"/>
    <mergeCell ref="J48:K48"/>
    <mergeCell ref="G49:H49"/>
    <mergeCell ref="J49:K49"/>
    <mergeCell ref="A43:A44"/>
    <mergeCell ref="C43:D43"/>
    <mergeCell ref="AH43:AI43"/>
    <mergeCell ref="C44:D44"/>
    <mergeCell ref="A45:F45"/>
    <mergeCell ref="G46:H46"/>
    <mergeCell ref="J46:K46"/>
    <mergeCell ref="G53:H53"/>
    <mergeCell ref="J53:K53"/>
    <mergeCell ref="G54:H54"/>
    <mergeCell ref="J54:K54"/>
    <mergeCell ref="G55:H55"/>
    <mergeCell ref="J55:K55"/>
    <mergeCell ref="G50:H50"/>
    <mergeCell ref="J50:K50"/>
    <mergeCell ref="G51:H51"/>
    <mergeCell ref="J51:K51"/>
    <mergeCell ref="G52:H52"/>
    <mergeCell ref="J52:K52"/>
    <mergeCell ref="G56:H56"/>
    <mergeCell ref="J56:K56"/>
    <mergeCell ref="A154:A156"/>
    <mergeCell ref="B154:B156"/>
    <mergeCell ref="C154:C156"/>
    <mergeCell ref="D154:D156"/>
    <mergeCell ref="F154:F156"/>
    <mergeCell ref="G154:G156"/>
    <mergeCell ref="H154:H156"/>
    <mergeCell ref="I154:I156"/>
    <mergeCell ref="AG154:AG156"/>
    <mergeCell ref="AH154:AI156"/>
    <mergeCell ref="J155:N155"/>
    <mergeCell ref="AF155:AF156"/>
    <mergeCell ref="A157:A160"/>
    <mergeCell ref="B157:B160"/>
    <mergeCell ref="D157:D158"/>
    <mergeCell ref="D159:D160"/>
    <mergeCell ref="J154:N154"/>
    <mergeCell ref="O154:O156"/>
    <mergeCell ref="T154:T156"/>
    <mergeCell ref="V154:V156"/>
    <mergeCell ref="W154:W156"/>
    <mergeCell ref="X154:AF154"/>
    <mergeCell ref="A169:G169"/>
    <mergeCell ref="A170:A176"/>
    <mergeCell ref="B170:B176"/>
    <mergeCell ref="D170:D171"/>
    <mergeCell ref="C172:C173"/>
    <mergeCell ref="D172:D174"/>
    <mergeCell ref="D175:D176"/>
    <mergeCell ref="A161:G161"/>
    <mergeCell ref="A162:A168"/>
    <mergeCell ref="B162:B168"/>
    <mergeCell ref="C162:C163"/>
    <mergeCell ref="D162:D164"/>
    <mergeCell ref="D165:D166"/>
    <mergeCell ref="D167:D168"/>
    <mergeCell ref="A184:G184"/>
    <mergeCell ref="A185:A187"/>
    <mergeCell ref="B185:B187"/>
    <mergeCell ref="C185:C187"/>
    <mergeCell ref="A188:G188"/>
    <mergeCell ref="A189:G189"/>
    <mergeCell ref="A177:G177"/>
    <mergeCell ref="A178:A183"/>
    <mergeCell ref="B178:B183"/>
    <mergeCell ref="C178:C179"/>
    <mergeCell ref="D178:D179"/>
    <mergeCell ref="D180:D181"/>
    <mergeCell ref="D182:D1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은혜원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경주온정마을</dc:creator>
  <cp:keywords/>
  <dc:description/>
  <cp:lastModifiedBy>총무기획팀장</cp:lastModifiedBy>
  <cp:lastPrinted>2015-12-14T13:46:12Z</cp:lastPrinted>
  <dcterms:created xsi:type="dcterms:W3CDTF">2006-12-18T12:23:09Z</dcterms:created>
  <dcterms:modified xsi:type="dcterms:W3CDTF">2015-12-28T08:59:29Z</dcterms:modified>
  <cp:category/>
  <cp:version/>
  <cp:contentType/>
  <cp:contentStatus/>
</cp:coreProperties>
</file>