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4426" yWindow="165" windowWidth="15420" windowHeight="10950" activeTab="1"/>
  </bookViews>
  <sheets>
    <sheet name="표지" sheetId="1" r:id="rId1"/>
    <sheet name="총괄표" sheetId="2" r:id="rId2"/>
    <sheet name="세입" sheetId="3" r:id="rId3"/>
    <sheet name="세출" sheetId="4" r:id="rId4"/>
  </sheets>
  <definedNames>
    <definedName name="_xlnm.Print_Area" localSheetId="2">'세입'!$A$1:$Q$49</definedName>
    <definedName name="_xlnm.Print_Area" localSheetId="3">'세출'!$A$1:$Q$187</definedName>
    <definedName name="_xlnm.Print_Area" localSheetId="1">'총괄표'!$A$1:$J$12</definedName>
    <definedName name="_xlnm.Print_Area" localSheetId="0">'표지'!$A$4:$M$38</definedName>
    <definedName name="_xlnm.Print_Titles" localSheetId="2">'세입'!$1:$5</definedName>
    <definedName name="_xlnm.Print_Titles" localSheetId="3">'세출'!$1:$5</definedName>
    <definedName name="단위">'표지'!$O$1:$O$12</definedName>
    <definedName name="자금원천">'표지'!$N$1:$N$5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<sst xmlns="http://schemas.openxmlformats.org/spreadsheetml/2006/main" count="1114" uniqueCount="339">
  <si>
    <t>=</t>
  </si>
  <si>
    <t>향기마을</t>
  </si>
  <si>
    <t>(단위 : 천원)</t>
  </si>
  <si>
    <t>세           입</t>
  </si>
  <si>
    <t>세           출</t>
  </si>
  <si>
    <t>과 목
(관)</t>
  </si>
  <si>
    <t>증감(B)-(A)</t>
  </si>
  <si>
    <t>과 목
(관)</t>
  </si>
  <si>
    <t>증감(B)-(A)</t>
  </si>
  <si>
    <t>예산(A)</t>
  </si>
  <si>
    <t>금액</t>
  </si>
  <si>
    <t>계</t>
  </si>
  <si>
    <t>계</t>
  </si>
  <si>
    <t>01.사무비</t>
  </si>
  <si>
    <t>02.재산조성비</t>
  </si>
  <si>
    <t>05.후원금수입</t>
  </si>
  <si>
    <t>03.사업비</t>
  </si>
  <si>
    <t>09.이월금</t>
  </si>
  <si>
    <t>10.잡수입</t>
  </si>
  <si>
    <t>세입 예산</t>
  </si>
  <si>
    <t>(예산단위 : 천원, 산출기초 : 원)</t>
  </si>
  <si>
    <t>과목</t>
  </si>
  <si>
    <t>비교증감</t>
  </si>
  <si>
    <t>산출기초</t>
  </si>
  <si>
    <t>관</t>
  </si>
  <si>
    <t>항</t>
  </si>
  <si>
    <t>목</t>
  </si>
  <si>
    <t>예산(B)</t>
  </si>
  <si>
    <t>(A)-(B)</t>
  </si>
  <si>
    <t>계</t>
  </si>
  <si>
    <t>04.보조금수입</t>
  </si>
  <si>
    <t>41.보조금수입</t>
  </si>
  <si>
    <t>월동대책비</t>
  </si>
  <si>
    <t>특별부식비</t>
  </si>
  <si>
    <t>캠프활동비</t>
  </si>
  <si>
    <t>건강검진비</t>
  </si>
  <si>
    <t>의약품비</t>
  </si>
  <si>
    <t>특별난방비</t>
  </si>
  <si>
    <t>05.후원금수입</t>
  </si>
  <si>
    <t>51.후원금수입</t>
  </si>
  <si>
    <t>511.지정후원금</t>
  </si>
  <si>
    <t>512.비지정후원금</t>
  </si>
  <si>
    <t>09.이월금</t>
  </si>
  <si>
    <t>91.이월금</t>
  </si>
  <si>
    <t>911.전년도이월금</t>
  </si>
  <si>
    <t>10.잡수입</t>
  </si>
  <si>
    <t>101.잡수입</t>
  </si>
  <si>
    <t>1013.기타잡수입</t>
  </si>
  <si>
    <t>세출 예산</t>
  </si>
  <si>
    <t>예산(B)</t>
  </si>
  <si>
    <t>계</t>
  </si>
  <si>
    <t>01.사무비</t>
  </si>
  <si>
    <t>11.인건비</t>
  </si>
  <si>
    <t>111.급여</t>
  </si>
  <si>
    <t>원장</t>
  </si>
  <si>
    <t>사무국장</t>
  </si>
  <si>
    <t>사회재활교사</t>
  </si>
  <si>
    <t>112.제수당</t>
  </si>
  <si>
    <t>퇴직적립금</t>
  </si>
  <si>
    <t>117.기타후생경비</t>
  </si>
  <si>
    <t>12.업무추진비</t>
  </si>
  <si>
    <t>121.기관운영비</t>
  </si>
  <si>
    <t>123.회의비</t>
  </si>
  <si>
    <t>운영위원회의비</t>
  </si>
  <si>
    <t>13.운영비</t>
  </si>
  <si>
    <t>131.여비</t>
  </si>
  <si>
    <t>홈페이지관리비</t>
  </si>
  <si>
    <t>소방안전관리비</t>
  </si>
  <si>
    <t>전기안전관리비</t>
  </si>
  <si>
    <t>133.공공요금</t>
  </si>
  <si>
    <t>전기요금(일반)</t>
  </si>
  <si>
    <t>우편요금</t>
  </si>
  <si>
    <t>상수도요금</t>
  </si>
  <si>
    <t>134.제세공과금</t>
  </si>
  <si>
    <t>화재보험료</t>
  </si>
  <si>
    <t>영업배상책임보험료</t>
  </si>
  <si>
    <t>가스사고배상책임보험료</t>
  </si>
  <si>
    <t>자동차보험료</t>
  </si>
  <si>
    <t>주민세</t>
  </si>
  <si>
    <t>자동차세</t>
  </si>
  <si>
    <t>기타 공과금</t>
  </si>
  <si>
    <t>135.차량비</t>
  </si>
  <si>
    <t>차량관리유지비</t>
  </si>
  <si>
    <t>02.재산조성비</t>
  </si>
  <si>
    <t>21.시설비</t>
  </si>
  <si>
    <t>211.시설비</t>
  </si>
  <si>
    <t>03.사업비</t>
  </si>
  <si>
    <t>31.운영비</t>
  </si>
  <si>
    <t>311.생계비</t>
  </si>
  <si>
    <t>314.의료비</t>
  </si>
  <si>
    <t>319.연료비</t>
  </si>
  <si>
    <t>811.예비비</t>
  </si>
  <si>
    <t>1012.기타예금이자수입</t>
  </si>
  <si>
    <t>132.수용비및수수료</t>
  </si>
  <si>
    <t>213.시설장비유지비</t>
  </si>
  <si>
    <t>312.수용기관경비</t>
  </si>
  <si>
    <t>333.교육재활사업비</t>
  </si>
  <si>
    <t>331.의료재활사업비</t>
  </si>
  <si>
    <t>318.특별급식비</t>
  </si>
  <si>
    <t>212.자산취득비</t>
  </si>
  <si>
    <t>물리치료사</t>
  </si>
  <si>
    <t>간호사</t>
  </si>
  <si>
    <t>생활재활교사</t>
  </si>
  <si>
    <t>조리원</t>
  </si>
  <si>
    <t>사무원</t>
  </si>
  <si>
    <t>위생원</t>
  </si>
  <si>
    <t>촉탁의사</t>
  </si>
  <si>
    <t>가족수당</t>
  </si>
  <si>
    <t>시간외수당</t>
  </si>
  <si>
    <t>자격수당</t>
  </si>
  <si>
    <t>장려수당</t>
  </si>
  <si>
    <t>국민건강보험</t>
  </si>
  <si>
    <t>장기요양보험</t>
  </si>
  <si>
    <t>국민연금보험</t>
  </si>
  <si>
    <t>고용보험</t>
  </si>
  <si>
    <t>산재보험</t>
  </si>
  <si>
    <t>116.사회보험부담금</t>
  </si>
  <si>
    <t>보</t>
  </si>
  <si>
    <t>회계신원보증보험료</t>
  </si>
  <si>
    <t>기타공공요금</t>
  </si>
  <si>
    <t>협회비(한장협)</t>
  </si>
  <si>
    <t>인터넷라이트사용료</t>
  </si>
  <si>
    <t>환경개선부담금(차량)</t>
  </si>
  <si>
    <t>환경개선부담금(시설물)</t>
  </si>
  <si>
    <t>자동차검사비</t>
  </si>
  <si>
    <t>136.기타운영비</t>
  </si>
  <si>
    <t>생필품구입비(커피외5종)</t>
  </si>
  <si>
    <t>김장비</t>
  </si>
  <si>
    <t>오수정화시설관리비</t>
  </si>
  <si>
    <t>08.예비비및기타</t>
  </si>
  <si>
    <t>81.예비비및기타</t>
  </si>
  <si>
    <t>812.반환금</t>
  </si>
  <si>
    <t>01.입소자부담금수입</t>
  </si>
  <si>
    <t>11.입소비용수입</t>
  </si>
  <si>
    <t>111.입소비용수입</t>
  </si>
  <si>
    <t>01.입소자부담금수입</t>
  </si>
  <si>
    <t>08.예비비및기타</t>
  </si>
  <si>
    <t>비율
(%)</t>
  </si>
  <si>
    <t>정화조수거비</t>
  </si>
  <si>
    <t>115.퇴직금및퇴직적립금</t>
  </si>
  <si>
    <t>413.시군구보조금</t>
  </si>
  <si>
    <t>04.보조금수입</t>
  </si>
  <si>
    <t>장의비</t>
  </si>
  <si>
    <t>315.장의비</t>
  </si>
  <si>
    <t>장의비</t>
  </si>
  <si>
    <t>예산(A)</t>
  </si>
  <si>
    <t>예산(B)</t>
  </si>
  <si>
    <t>912.전년도이월금(후원금)</t>
  </si>
  <si>
    <t>명절상여금</t>
  </si>
  <si>
    <t>33.재활사업비</t>
  </si>
  <si>
    <t>335.지원재활사업비</t>
  </si>
  <si>
    <t>소형차량유류비</t>
  </si>
  <si>
    <t>승합차량유류비</t>
  </si>
  <si>
    <t>호실별운영경비</t>
  </si>
  <si>
    <t>위성방송(스카이라이프)료</t>
  </si>
  <si>
    <t>예비비</t>
  </si>
  <si>
    <t>예금이자</t>
  </si>
  <si>
    <t>사회복지실습비</t>
  </si>
  <si>
    <t>협회비(경장협,포사협)</t>
  </si>
  <si>
    <t>세입ㆍ세출 본예산</t>
  </si>
  <si>
    <t>원X</t>
  </si>
  <si>
    <t>원X</t>
  </si>
  <si>
    <t>명X</t>
  </si>
  <si>
    <t>명X</t>
  </si>
  <si>
    <t>월X</t>
  </si>
  <si>
    <t>명</t>
  </si>
  <si>
    <t>명</t>
  </si>
  <si>
    <t>월</t>
  </si>
  <si>
    <t>월</t>
  </si>
  <si>
    <t>회</t>
  </si>
  <si>
    <t>회</t>
  </si>
  <si>
    <t>대</t>
  </si>
  <si>
    <t>식</t>
  </si>
  <si>
    <t>식</t>
  </si>
  <si>
    <t>보</t>
  </si>
  <si>
    <t>운영비</t>
  </si>
  <si>
    <t>인건비</t>
  </si>
  <si>
    <t>명도학교교통비지원금</t>
  </si>
  <si>
    <t>종사자식대비</t>
  </si>
  <si>
    <t>전년도이월금</t>
  </si>
  <si>
    <t>전년도이월금(후원금)</t>
  </si>
  <si>
    <t>기타잡수입</t>
  </si>
  <si>
    <t>보조금</t>
  </si>
  <si>
    <t>월X</t>
  </si>
  <si>
    <t>대</t>
  </si>
  <si>
    <t>대X</t>
  </si>
  <si>
    <t>시간</t>
  </si>
  <si>
    <t>상근조</t>
  </si>
  <si>
    <t>교대조</t>
  </si>
  <si>
    <t>교육연수여비</t>
  </si>
  <si>
    <t>소독방역관리비</t>
  </si>
  <si>
    <t>운영계획서 제작비</t>
  </si>
  <si>
    <t>소식지 제작비</t>
  </si>
  <si>
    <t>종사자 상해보험료</t>
  </si>
  <si>
    <t>주부식비(입소비용)</t>
  </si>
  <si>
    <t>주부식비(수급비용)</t>
  </si>
  <si>
    <t>주부식비(식대비용)</t>
  </si>
  <si>
    <t>실</t>
  </si>
  <si>
    <t>실</t>
  </si>
  <si>
    <t>대X</t>
  </si>
  <si>
    <t>332.사회재활사업비</t>
  </si>
  <si>
    <t>주방물품구입(호일외9종)</t>
  </si>
  <si>
    <t>건강검진 지원비</t>
  </si>
  <si>
    <t>일반출장여비</t>
  </si>
  <si>
    <t>보</t>
  </si>
  <si>
    <t>후(지)</t>
  </si>
  <si>
    <t>수</t>
  </si>
  <si>
    <t>잡</t>
  </si>
  <si>
    <t>잡</t>
  </si>
  <si>
    <t>후(비)</t>
  </si>
  <si>
    <t>잡수입</t>
  </si>
  <si>
    <t>후원금(지정)</t>
  </si>
  <si>
    <t>후원금(비지정)</t>
  </si>
  <si>
    <t>수</t>
  </si>
  <si>
    <t>후(비)</t>
  </si>
  <si>
    <t>생계급여</t>
  </si>
  <si>
    <t>특별위로금</t>
  </si>
  <si>
    <t>후(지)</t>
  </si>
  <si>
    <t>수익사업</t>
  </si>
  <si>
    <t>자부담</t>
  </si>
  <si>
    <t xml:space="preserve">후원금 </t>
  </si>
  <si>
    <t>보조금</t>
  </si>
  <si>
    <t>기본금</t>
  </si>
  <si>
    <t>일</t>
  </si>
  <si>
    <t>=</t>
  </si>
  <si>
    <t>퇴직연금운용수수료</t>
  </si>
  <si>
    <t>기타수수료</t>
  </si>
  <si>
    <t>음식물쓰레기처리비</t>
  </si>
  <si>
    <t>식대비</t>
  </si>
  <si>
    <t>입소비용</t>
  </si>
  <si>
    <t>기타장비유지비</t>
  </si>
  <si>
    <t>소방작동기능점겁비</t>
  </si>
  <si>
    <t>소프트웨어프로그램구매</t>
  </si>
  <si>
    <t>인권지킴이단회의비</t>
  </si>
  <si>
    <t>승강기안전관리비</t>
  </si>
  <si>
    <t>정수기렌탈료(웅진코웨이)</t>
  </si>
  <si>
    <t>방화관리자회비</t>
  </si>
  <si>
    <t>재산세(토지)</t>
  </si>
  <si>
    <t>재산세(건축물)</t>
  </si>
  <si>
    <t>사무용품비(복사지외10종)</t>
  </si>
  <si>
    <t>세입대비 세출차액</t>
  </si>
  <si>
    <t>산출기초금액</t>
  </si>
  <si>
    <t>산출기초 대비 적요 차액</t>
  </si>
  <si>
    <t>후원자.자원봉사자행사</t>
  </si>
  <si>
    <t>어울림운동회</t>
  </si>
  <si>
    <t>홍보영상물제작비</t>
  </si>
  <si>
    <t>치료비및수술비</t>
  </si>
  <si>
    <t>간병비</t>
  </si>
  <si>
    <t>인권관련 재료 구입비</t>
  </si>
  <si>
    <t>주방물품수리비(식기세척기외2종)</t>
  </si>
  <si>
    <t>의료물품구입비(체중기외2종)</t>
  </si>
  <si>
    <t>외부 나들이 사업비</t>
  </si>
  <si>
    <t>성예방교육 사업비</t>
  </si>
  <si>
    <t>보건의료교육사업비(강사비외)</t>
  </si>
  <si>
    <t>미술활동 사업비</t>
  </si>
  <si>
    <t>자치회 사업비</t>
  </si>
  <si>
    <t>생일축하 사업비</t>
  </si>
  <si>
    <t>체육활동 사업비</t>
  </si>
  <si>
    <t>기타사회재활 사업비</t>
  </si>
  <si>
    <t>간식비(우유외 2종)</t>
  </si>
  <si>
    <t>외식비</t>
  </si>
  <si>
    <t>해외연수비</t>
  </si>
  <si>
    <t>홍보및자원개발관리비</t>
  </si>
  <si>
    <t>지역사회연계활동비</t>
  </si>
  <si>
    <t>입소비용수입</t>
  </si>
  <si>
    <t>지정후원금</t>
  </si>
  <si>
    <t>비지정후원금</t>
  </si>
  <si>
    <t>○</t>
  </si>
  <si>
    <t>예금이자</t>
  </si>
  <si>
    <t>제수당</t>
  </si>
  <si>
    <t>종사자수당</t>
  </si>
  <si>
    <t>사회보험료</t>
  </si>
  <si>
    <t>기타후생경비</t>
  </si>
  <si>
    <t>기관운영비</t>
  </si>
  <si>
    <t>회의비</t>
  </si>
  <si>
    <t xml:space="preserve">역량강화여비 </t>
  </si>
  <si>
    <t>사무지원수수료</t>
  </si>
  <si>
    <t>공공요금</t>
  </si>
  <si>
    <t>제세공과금</t>
  </si>
  <si>
    <t>차량유류비</t>
  </si>
  <si>
    <t xml:space="preserve">차량관리비 </t>
  </si>
  <si>
    <t>기타운영비</t>
  </si>
  <si>
    <t>시설비</t>
  </si>
  <si>
    <t>자산취득비</t>
  </si>
  <si>
    <t>시설장비유지비</t>
  </si>
  <si>
    <t>주부식비</t>
  </si>
  <si>
    <t>생계지원비</t>
  </si>
  <si>
    <t>생활기관경비</t>
  </si>
  <si>
    <t>주방기관경비</t>
  </si>
  <si>
    <t xml:space="preserve">물리치료비 </t>
  </si>
  <si>
    <t>특별급식비</t>
  </si>
  <si>
    <t>관리용역수수료</t>
  </si>
  <si>
    <t>취사연료비</t>
  </si>
  <si>
    <t>주방취사연료비</t>
  </si>
  <si>
    <t>사회재활사업비</t>
  </si>
  <si>
    <t>교육재활사업비</t>
  </si>
  <si>
    <t>지원재활사업비</t>
  </si>
  <si>
    <t>예비비</t>
  </si>
  <si>
    <t>08.전입금</t>
  </si>
  <si>
    <t>81.전입금</t>
  </si>
  <si>
    <t>811.법인전입금</t>
  </si>
  <si>
    <t>법인전입금</t>
  </si>
  <si>
    <t>08.전입금</t>
  </si>
  <si>
    <t>회</t>
  </si>
  <si>
    <t>이용자 인권교육비</t>
  </si>
  <si>
    <t>이용자 인권교육 사업비</t>
  </si>
  <si>
    <t>종사자 인권교육 사업비</t>
  </si>
  <si>
    <t>의료재활사업비</t>
  </si>
  <si>
    <t xml:space="preserve">의료보건비 </t>
  </si>
  <si>
    <t>보조금반환금</t>
  </si>
  <si>
    <t>2016년 세입·세출 예산 총괄표</t>
  </si>
  <si>
    <t>영양사</t>
  </si>
  <si>
    <t>인권교육비</t>
  </si>
  <si>
    <t>정수기렌탈료(쿠쿠정수기)</t>
  </si>
  <si>
    <t>복사기렌탈료</t>
  </si>
  <si>
    <t>전화요금(케이티)</t>
  </si>
  <si>
    <t>전화요금(인터넷)</t>
  </si>
  <si>
    <t>전기요금(심야)</t>
  </si>
  <si>
    <t>시설유지관리비</t>
  </si>
  <si>
    <t>수경재배하우스설치 외 1식</t>
  </si>
  <si>
    <t>사회복무요원식대비</t>
  </si>
  <si>
    <t>전기맨홀정비</t>
  </si>
  <si>
    <t>기타수수료(쓰레기봉투외20종)</t>
  </si>
  <si>
    <t>물리물품구입비(승마기외3종)</t>
  </si>
  <si>
    <t>자산비품구입비(식기세척기외2종)</t>
  </si>
  <si>
    <t>역량강화비(종사자워크샵)</t>
  </si>
  <si>
    <t>기관판공비</t>
  </si>
  <si>
    <t>업무협의비</t>
  </si>
  <si>
    <t>노래교실 사업비</t>
  </si>
  <si>
    <t>주거환경개선비</t>
  </si>
  <si>
    <t>시설리모델링사업(도배외2종)</t>
  </si>
  <si>
    <t>산악회 사업비</t>
  </si>
  <si>
    <t>313.피복비</t>
  </si>
  <si>
    <t>○</t>
  </si>
  <si>
    <t>피복비</t>
  </si>
  <si>
    <t>피복(침구)류비</t>
  </si>
  <si>
    <t>=</t>
  </si>
  <si>
    <t>334.직업재활사업비</t>
  </si>
  <si>
    <t>직업재활사업비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</si>
</sst>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"/>
    <numFmt numFmtId="178" formatCode="0&quot;년&quot;"/>
    <numFmt numFmtId="179" formatCode="0.0_ "/>
    <numFmt numFmtId="180" formatCode="#,##0;[Black]&quot;△&quot;#,##0"/>
    <numFmt numFmtId="181" formatCode="0&quot;년&quot;\ &quot;세&quot;&quot;입&quot;\ &quot;예&quot;&quot;산&quot;"/>
    <numFmt numFmtId="182" formatCode="&quot;○ &quot;@"/>
    <numFmt numFmtId="183" formatCode="\(@\)"/>
    <numFmt numFmtId="184" formatCode="#,##0&quot;원&quot;\X"/>
    <numFmt numFmtId="185" formatCode="0&quot;년&quot;\ &quot;세&quot;&quot;출&quot;\ &quot;예&quot;&quot;산&quot;"/>
    <numFmt numFmtId="186" formatCode="\(&quot;자&quot;\)#,###"/>
    <numFmt numFmtId="187" formatCode="\(&quot;후&quot;\)#,###"/>
    <numFmt numFmtId="188" formatCode="#,##0;[Red]&quot;△&quot;#,##0"/>
    <numFmt numFmtId="189" formatCode="0_ "/>
    <numFmt numFmtId="190" formatCode="&quot;₩&quot;#,##0"/>
    <numFmt numFmtId="191" formatCode="[$-412]yyyy&quot;년&quot;\ m&quot;월&quot;\ d&quot;일&quot;\ dddd"/>
    <numFmt numFmtId="192" formatCode="#,##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&quot;월&quot;\ dd&quot;일&quot;"/>
    <numFmt numFmtId="198" formatCode="[$-412]AM/PM\ h:mm:ss"/>
    <numFmt numFmtId="199" formatCode="General&quot;년&quot;"/>
    <numFmt numFmtId="200" formatCode="#,###&quot;원&quot;"/>
  </numFmts>
  <fonts count="60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8"/>
      <name val="맑은 고딕"/>
      <family val="3"/>
    </font>
    <font>
      <b/>
      <sz val="30"/>
      <color indexed="8"/>
      <name val="HY헤드라인M"/>
      <family val="1"/>
    </font>
    <font>
      <b/>
      <sz val="24"/>
      <color indexed="8"/>
      <name val="HY헤드라인M"/>
      <family val="1"/>
    </font>
    <font>
      <b/>
      <sz val="12"/>
      <name val="굴림체"/>
      <family val="3"/>
    </font>
    <font>
      <b/>
      <sz val="30"/>
      <name val="HY헤드라인M"/>
      <family val="1"/>
    </font>
    <font>
      <b/>
      <sz val="24"/>
      <name val="HY헤드라인M"/>
      <family val="1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24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24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b/>
      <sz val="11"/>
      <name val="굴림"/>
      <family val="3"/>
    </font>
    <font>
      <b/>
      <sz val="22"/>
      <name val="굴림"/>
      <family val="3"/>
    </font>
    <font>
      <sz val="11"/>
      <color indexed="8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sz val="11"/>
      <color indexed="10"/>
      <name val="돋움"/>
      <family val="3"/>
    </font>
    <font>
      <b/>
      <sz val="12"/>
      <color indexed="10"/>
      <name val="굴림"/>
      <family val="3"/>
    </font>
    <font>
      <b/>
      <sz val="11"/>
      <color indexed="10"/>
      <name val="굴림"/>
      <family val="3"/>
    </font>
    <font>
      <b/>
      <sz val="24"/>
      <color indexed="10"/>
      <name val="굴림"/>
      <family val="3"/>
    </font>
    <font>
      <sz val="11"/>
      <color indexed="10"/>
      <name val="굴림"/>
      <family val="3"/>
    </font>
    <font>
      <sz val="12"/>
      <color indexed="10"/>
      <name val="굴림"/>
      <family val="3"/>
    </font>
    <font>
      <b/>
      <sz val="14"/>
      <color indexed="10"/>
      <name val="굴림"/>
      <family val="3"/>
    </font>
    <font>
      <sz val="14"/>
      <color indexed="10"/>
      <name val="HY헤드라인M"/>
      <family val="1"/>
    </font>
    <font>
      <sz val="20"/>
      <color indexed="10"/>
      <name val="굴림"/>
      <family val="3"/>
    </font>
    <font>
      <sz val="9"/>
      <name val="굴림"/>
      <family val="3"/>
    </font>
    <font>
      <sz val="11"/>
      <color rgb="FFFF0000"/>
      <name val="돋움"/>
      <family val="3"/>
    </font>
    <font>
      <b/>
      <sz val="12"/>
      <color rgb="FFFF0000"/>
      <name val="굴림"/>
      <family val="3"/>
    </font>
    <font>
      <b/>
      <sz val="11"/>
      <color rgb="FFFF0000"/>
      <name val="굴림"/>
      <family val="3"/>
    </font>
    <font>
      <b/>
      <sz val="24"/>
      <color rgb="FFFF0000"/>
      <name val="굴림"/>
      <family val="3"/>
    </font>
    <font>
      <sz val="11"/>
      <color rgb="FFFF0000"/>
      <name val="굴림"/>
      <family val="3"/>
    </font>
    <font>
      <sz val="12"/>
      <color rgb="FFFF0000"/>
      <name val="굴림"/>
      <family val="3"/>
    </font>
    <font>
      <b/>
      <sz val="14"/>
      <color rgb="FFFF0000"/>
      <name val="굴림"/>
      <family val="3"/>
    </font>
    <font>
      <sz val="14"/>
      <color rgb="FFFF0000"/>
      <name val="HY헤드라인M"/>
      <family val="1"/>
    </font>
    <font>
      <sz val="20"/>
      <color rgb="FFFF0000"/>
      <name val="굴림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hair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FF0000"/>
      </top>
      <bottom style="medium">
        <color rgb="FFFF0000"/>
      </bottom>
    </border>
    <border>
      <left style="hair"/>
      <right style="hair"/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hair"/>
      <top style="medium">
        <color rgb="FFFF0000"/>
      </top>
      <bottom style="medium">
        <color rgb="FFFF0000"/>
      </bottom>
    </border>
    <border>
      <left style="medium"/>
      <right style="hair"/>
      <top>
        <color indexed="63"/>
      </top>
      <bottom style="thin"/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>
        <color rgb="FFFF0000"/>
      </top>
      <bottom style="medium">
        <color rgb="FFFF0000"/>
      </bottom>
    </border>
    <border>
      <left style="hair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551"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85" fontId="30" fillId="0" borderId="0" xfId="0" applyNumberFormat="1" applyFont="1" applyFill="1" applyAlignment="1">
      <alignment vertical="center"/>
    </xf>
    <xf numFmtId="177" fontId="52" fillId="0" borderId="0" xfId="0" applyNumberFormat="1" applyFont="1" applyFill="1" applyBorder="1" applyAlignment="1">
      <alignment vertical="center" shrinkToFit="1"/>
    </xf>
    <xf numFmtId="185" fontId="33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vertical="center" shrinkToFit="1"/>
    </xf>
    <xf numFmtId="177" fontId="31" fillId="0" borderId="0" xfId="0" applyNumberFormat="1" applyFont="1" applyFill="1" applyAlignment="1">
      <alignment vertical="center" shrinkToFit="1"/>
    </xf>
    <xf numFmtId="177" fontId="31" fillId="0" borderId="0" xfId="0" applyNumberFormat="1" applyFont="1" applyFill="1" applyAlignment="1">
      <alignment horizontal="left" vertical="center" shrinkToFit="1"/>
    </xf>
    <xf numFmtId="181" fontId="30" fillId="0" borderId="0" xfId="0" applyNumberFormat="1" applyFont="1" applyFill="1" applyAlignment="1">
      <alignment vertical="center" shrinkToFit="1"/>
    </xf>
    <xf numFmtId="181" fontId="30" fillId="0" borderId="0" xfId="0" applyNumberFormat="1" applyFont="1" applyFill="1" applyAlignment="1">
      <alignment horizontal="left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 shrinkToFit="1"/>
    </xf>
    <xf numFmtId="41" fontId="32" fillId="0" borderId="0" xfId="48" applyFont="1" applyFill="1" applyAlignment="1">
      <alignment vertical="center" shrinkToFit="1"/>
    </xf>
    <xf numFmtId="0" fontId="32" fillId="0" borderId="0" xfId="0" applyFont="1" applyFill="1" applyAlignment="1">
      <alignment vertical="center"/>
    </xf>
    <xf numFmtId="185" fontId="30" fillId="0" borderId="0" xfId="0" applyNumberFormat="1" applyFont="1" applyFill="1" applyAlignment="1">
      <alignment vertical="center" shrinkToFit="1"/>
    </xf>
    <xf numFmtId="3" fontId="52" fillId="0" borderId="0" xfId="0" applyNumberFormat="1" applyFont="1" applyAlignment="1">
      <alignment horizontal="left" vertical="center"/>
    </xf>
    <xf numFmtId="0" fontId="34" fillId="0" borderId="0" xfId="0" applyFont="1" applyFill="1" applyAlignment="1">
      <alignment vertical="center" shrinkToFit="1"/>
    </xf>
    <xf numFmtId="0" fontId="35" fillId="0" borderId="0" xfId="62" applyFont="1" applyFill="1" applyAlignment="1">
      <alignment horizontal="left" vertical="center"/>
      <protection/>
    </xf>
    <xf numFmtId="185" fontId="36" fillId="0" borderId="10" xfId="0" applyNumberFormat="1" applyFont="1" applyFill="1" applyBorder="1" applyAlignment="1">
      <alignment horizontal="center" vertical="center" shrinkToFit="1"/>
    </xf>
    <xf numFmtId="185" fontId="53" fillId="0" borderId="10" xfId="0" applyNumberFormat="1" applyFont="1" applyFill="1" applyBorder="1" applyAlignment="1">
      <alignment horizontal="center" vertical="center" shrinkToFit="1"/>
    </xf>
    <xf numFmtId="185" fontId="30" fillId="0" borderId="10" xfId="0" applyNumberFormat="1" applyFont="1" applyFill="1" applyBorder="1" applyAlignment="1">
      <alignment vertical="center"/>
    </xf>
    <xf numFmtId="185" fontId="33" fillId="0" borderId="10" xfId="0" applyNumberFormat="1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vertical="center" shrinkToFit="1"/>
    </xf>
    <xf numFmtId="0" fontId="32" fillId="0" borderId="0" xfId="0" applyFont="1" applyFill="1" applyAlignment="1">
      <alignment horizontal="center" vertical="center" shrinkToFit="1"/>
    </xf>
    <xf numFmtId="178" fontId="31" fillId="0" borderId="11" xfId="48" applyNumberFormat="1" applyFont="1" applyFill="1" applyBorder="1" applyAlignment="1">
      <alignment horizontal="center" vertical="center" shrinkToFit="1"/>
    </xf>
    <xf numFmtId="176" fontId="31" fillId="0" borderId="11" xfId="48" applyNumberFormat="1" applyFont="1" applyFill="1" applyBorder="1" applyAlignment="1">
      <alignment horizontal="center" vertical="center" shrinkToFit="1"/>
    </xf>
    <xf numFmtId="0" fontId="31" fillId="0" borderId="12" xfId="62" applyFont="1" applyFill="1" applyBorder="1" applyAlignment="1">
      <alignment vertical="center"/>
      <protection/>
    </xf>
    <xf numFmtId="41" fontId="34" fillId="0" borderId="0" xfId="48" applyFont="1" applyAlignment="1">
      <alignment vertical="center"/>
    </xf>
    <xf numFmtId="0" fontId="31" fillId="0" borderId="13" xfId="62" applyFont="1" applyFill="1" applyBorder="1" applyAlignment="1">
      <alignment horizontal="center" vertical="center"/>
      <protection/>
    </xf>
    <xf numFmtId="0" fontId="31" fillId="0" borderId="14" xfId="62" applyFont="1" applyFill="1" applyBorder="1" applyAlignment="1">
      <alignment horizontal="center" vertical="center"/>
      <protection/>
    </xf>
    <xf numFmtId="0" fontId="31" fillId="0" borderId="14" xfId="62" applyFont="1" applyFill="1" applyBorder="1" applyAlignment="1">
      <alignment horizontal="center" vertical="center" shrinkToFit="1"/>
      <protection/>
    </xf>
    <xf numFmtId="176" fontId="31" fillId="0" borderId="15" xfId="48" applyNumberFormat="1" applyFont="1" applyFill="1" applyBorder="1" applyAlignment="1">
      <alignment horizontal="center" vertical="center" shrinkToFit="1"/>
    </xf>
    <xf numFmtId="0" fontId="31" fillId="0" borderId="16" xfId="62" applyFont="1" applyFill="1" applyBorder="1" applyAlignment="1">
      <alignment vertical="center"/>
      <protection/>
    </xf>
    <xf numFmtId="0" fontId="31" fillId="0" borderId="10" xfId="62" applyFont="1" applyFill="1" applyBorder="1" applyAlignment="1">
      <alignment vertical="center"/>
      <protection/>
    </xf>
    <xf numFmtId="3" fontId="31" fillId="0" borderId="11" xfId="62" applyNumberFormat="1" applyFont="1" applyFill="1" applyBorder="1" applyAlignment="1">
      <alignment vertical="center" shrinkToFit="1"/>
      <protection/>
    </xf>
    <xf numFmtId="3" fontId="31" fillId="0" borderId="11" xfId="0" applyNumberFormat="1" applyFont="1" applyFill="1" applyBorder="1" applyAlignment="1">
      <alignment horizontal="right" vertical="center" shrinkToFit="1"/>
    </xf>
    <xf numFmtId="180" fontId="31" fillId="0" borderId="11" xfId="62" applyNumberFormat="1" applyFont="1" applyFill="1" applyBorder="1" applyAlignment="1">
      <alignment vertical="center" shrinkToFit="1"/>
      <protection/>
    </xf>
    <xf numFmtId="0" fontId="32" fillId="0" borderId="17" xfId="0" applyFont="1" applyFill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3" fontId="32" fillId="0" borderId="19" xfId="48" applyNumberFormat="1" applyFont="1" applyFill="1" applyBorder="1" applyAlignment="1">
      <alignment horizontal="right" vertical="center" shrinkToFit="1"/>
    </xf>
    <xf numFmtId="3" fontId="34" fillId="0" borderId="20" xfId="62" applyNumberFormat="1" applyFont="1" applyFill="1" applyBorder="1" applyAlignment="1">
      <alignment vertical="center" shrinkToFit="1"/>
      <protection/>
    </xf>
    <xf numFmtId="3" fontId="34" fillId="0" borderId="21" xfId="0" applyNumberFormat="1" applyFont="1" applyFill="1" applyBorder="1" applyAlignment="1">
      <alignment horizontal="right" vertical="center" shrinkToFit="1"/>
    </xf>
    <xf numFmtId="180" fontId="34" fillId="0" borderId="20" xfId="62" applyNumberFormat="1" applyFont="1" applyFill="1" applyBorder="1" applyAlignment="1">
      <alignment vertical="center" shrinkToFit="1"/>
      <protection/>
    </xf>
    <xf numFmtId="0" fontId="34" fillId="0" borderId="22" xfId="0" applyFont="1" applyFill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177" fontId="34" fillId="0" borderId="24" xfId="48" applyNumberFormat="1" applyFont="1" applyFill="1" applyBorder="1" applyAlignment="1">
      <alignment vertical="center" shrinkToFit="1"/>
    </xf>
    <xf numFmtId="41" fontId="52" fillId="0" borderId="0" xfId="48" applyFont="1" applyAlignment="1">
      <alignment vertical="center"/>
    </xf>
    <xf numFmtId="0" fontId="34" fillId="0" borderId="25" xfId="62" applyFont="1" applyFill="1" applyBorder="1" applyAlignment="1">
      <alignment horizontal="left" vertical="center"/>
      <protection/>
    </xf>
    <xf numFmtId="3" fontId="31" fillId="0" borderId="21" xfId="0" applyNumberFormat="1" applyFont="1" applyFill="1" applyBorder="1" applyAlignment="1">
      <alignment horizontal="right" vertical="center" shrinkToFit="1"/>
    </xf>
    <xf numFmtId="0" fontId="32" fillId="0" borderId="22" xfId="0" applyFont="1" applyFill="1" applyBorder="1" applyAlignment="1">
      <alignment vertical="center"/>
    </xf>
    <xf numFmtId="3" fontId="32" fillId="0" borderId="24" xfId="48" applyNumberFormat="1" applyFont="1" applyFill="1" applyBorder="1" applyAlignment="1">
      <alignment horizontal="right" vertical="center" shrinkToFit="1"/>
    </xf>
    <xf numFmtId="0" fontId="34" fillId="0" borderId="26" xfId="62" applyFont="1" applyFill="1" applyBorder="1" applyAlignment="1">
      <alignment horizontal="left" vertical="center"/>
      <protection/>
    </xf>
    <xf numFmtId="0" fontId="34" fillId="0" borderId="21" xfId="62" applyFont="1" applyFill="1" applyBorder="1" applyAlignment="1">
      <alignment horizontal="left" vertical="center"/>
      <protection/>
    </xf>
    <xf numFmtId="0" fontId="34" fillId="0" borderId="27" xfId="62" applyFont="1" applyFill="1" applyBorder="1" applyAlignment="1">
      <alignment vertical="center" shrinkToFit="1"/>
      <protection/>
    </xf>
    <xf numFmtId="3" fontId="34" fillId="0" borderId="21" xfId="62" applyNumberFormat="1" applyFont="1" applyFill="1" applyBorder="1" applyAlignment="1">
      <alignment vertical="center" shrinkToFit="1"/>
      <protection/>
    </xf>
    <xf numFmtId="180" fontId="34" fillId="0" borderId="21" xfId="62" applyNumberFormat="1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horizontal="left" vertical="center"/>
      <protection/>
    </xf>
    <xf numFmtId="0" fontId="34" fillId="0" borderId="29" xfId="62" applyFont="1" applyFill="1" applyBorder="1" applyAlignment="1">
      <alignment vertical="center" shrinkToFit="1"/>
      <protection/>
    </xf>
    <xf numFmtId="3" fontId="34" fillId="0" borderId="28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horizontal="right" vertical="center" shrinkToFit="1"/>
    </xf>
    <xf numFmtId="180" fontId="34" fillId="0" borderId="28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vertical="center" shrinkToFit="1"/>
    </xf>
    <xf numFmtId="0" fontId="34" fillId="0" borderId="29" xfId="62" applyNumberFormat="1" applyFont="1" applyFill="1" applyBorder="1" applyAlignment="1">
      <alignment horizontal="center" vertical="center" shrinkToFit="1"/>
      <protection/>
    </xf>
    <xf numFmtId="0" fontId="34" fillId="0" borderId="0" xfId="0" applyNumberFormat="1" applyFont="1" applyFill="1" applyBorder="1" applyAlignment="1">
      <alignment vertical="center" shrinkToFit="1"/>
    </xf>
    <xf numFmtId="177" fontId="34" fillId="0" borderId="0" xfId="48" applyNumberFormat="1" applyFont="1" applyFill="1" applyBorder="1" applyAlignment="1">
      <alignment horizontal="right" vertical="center" shrinkToFit="1"/>
    </xf>
    <xf numFmtId="177" fontId="34" fillId="0" borderId="0" xfId="48" applyNumberFormat="1" applyFont="1" applyFill="1" applyBorder="1" applyAlignment="1">
      <alignment horizontal="lef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center" vertical="center" shrinkToFit="1"/>
    </xf>
    <xf numFmtId="3" fontId="34" fillId="0" borderId="30" xfId="0" applyNumberFormat="1" applyFont="1" applyFill="1" applyBorder="1" applyAlignment="1">
      <alignment horizontal="right" vertical="center" shrinkToFit="1"/>
    </xf>
    <xf numFmtId="177" fontId="31" fillId="0" borderId="0" xfId="0" applyNumberFormat="1" applyFont="1" applyFill="1" applyBorder="1" applyAlignment="1">
      <alignment horizontal="right" vertical="center" shrinkToFit="1"/>
    </xf>
    <xf numFmtId="3" fontId="34" fillId="0" borderId="31" xfId="62" applyNumberFormat="1" applyFont="1" applyFill="1" applyBorder="1" applyAlignment="1">
      <alignment vertical="center" shrinkToFit="1"/>
      <protection/>
    </xf>
    <xf numFmtId="0" fontId="34" fillId="0" borderId="32" xfId="62" applyNumberFormat="1" applyFont="1" applyFill="1" applyBorder="1" applyAlignment="1">
      <alignment horizontal="center" vertical="center" shrinkToFit="1"/>
      <protection/>
    </xf>
    <xf numFmtId="0" fontId="34" fillId="0" borderId="33" xfId="0" applyNumberFormat="1" applyFont="1" applyFill="1" applyBorder="1" applyAlignment="1">
      <alignment vertical="center" shrinkToFit="1"/>
    </xf>
    <xf numFmtId="177" fontId="34" fillId="0" borderId="33" xfId="48" applyNumberFormat="1" applyFont="1" applyFill="1" applyBorder="1" applyAlignment="1">
      <alignment horizontal="right" vertical="center" shrinkToFit="1"/>
    </xf>
    <xf numFmtId="0" fontId="34" fillId="0" borderId="32" xfId="62" applyNumberFormat="1" applyFont="1" applyFill="1" applyBorder="1" applyAlignment="1">
      <alignment horizontal="left" vertical="center" shrinkToFit="1"/>
      <protection/>
    </xf>
    <xf numFmtId="177" fontId="34" fillId="0" borderId="33" xfId="48" applyNumberFormat="1" applyFont="1" applyFill="1" applyBorder="1" applyAlignment="1">
      <alignment horizontal="left" vertical="center" shrinkToFit="1"/>
    </xf>
    <xf numFmtId="0" fontId="34" fillId="0" borderId="29" xfId="62" applyNumberFormat="1" applyFont="1" applyFill="1" applyBorder="1" applyAlignment="1">
      <alignment horizontal="left" vertical="center" shrinkToFit="1"/>
      <protection/>
    </xf>
    <xf numFmtId="41" fontId="32" fillId="0" borderId="0" xfId="48" applyFont="1" applyFill="1" applyAlignment="1">
      <alignment vertical="center"/>
    </xf>
    <xf numFmtId="0" fontId="34" fillId="0" borderId="0" xfId="62" applyFont="1" applyFill="1" applyBorder="1" applyAlignment="1">
      <alignment horizontal="left" vertical="center"/>
      <protection/>
    </xf>
    <xf numFmtId="0" fontId="34" fillId="0" borderId="29" xfId="62" applyNumberFormat="1" applyFont="1" applyFill="1" applyBorder="1" applyAlignment="1">
      <alignment vertical="center" shrinkToFit="1"/>
      <protection/>
    </xf>
    <xf numFmtId="0" fontId="34" fillId="0" borderId="0" xfId="62" applyNumberFormat="1" applyFont="1" applyFill="1" applyBorder="1" applyAlignment="1">
      <alignment vertical="center" shrinkToFit="1"/>
      <protection/>
    </xf>
    <xf numFmtId="0" fontId="34" fillId="0" borderId="32" xfId="0" applyNumberFormat="1" applyFont="1" applyFill="1" applyBorder="1" applyAlignment="1">
      <alignment vertical="center"/>
    </xf>
    <xf numFmtId="0" fontId="34" fillId="0" borderId="33" xfId="62" applyNumberFormat="1" applyFont="1" applyFill="1" applyBorder="1" applyAlignment="1">
      <alignment vertical="center" shrinkToFit="1"/>
      <protection/>
    </xf>
    <xf numFmtId="177" fontId="34" fillId="0" borderId="33" xfId="0" applyNumberFormat="1" applyFont="1" applyFill="1" applyBorder="1" applyAlignment="1">
      <alignment horizontal="right" vertical="center" shrinkToFit="1"/>
    </xf>
    <xf numFmtId="177" fontId="34" fillId="0" borderId="33" xfId="0" applyNumberFormat="1" applyFont="1" applyFill="1" applyBorder="1" applyAlignment="1">
      <alignment horizontal="center" vertical="center" shrinkToFit="1"/>
    </xf>
    <xf numFmtId="0" fontId="32" fillId="0" borderId="27" xfId="0" applyNumberFormat="1" applyFont="1" applyFill="1" applyBorder="1" applyAlignment="1">
      <alignment vertical="center"/>
    </xf>
    <xf numFmtId="0" fontId="32" fillId="0" borderId="23" xfId="0" applyNumberFormat="1" applyFont="1" applyFill="1" applyBorder="1" applyAlignment="1">
      <alignment horizontal="center" vertical="center" shrinkToFit="1"/>
    </xf>
    <xf numFmtId="177" fontId="32" fillId="0" borderId="23" xfId="0" applyNumberFormat="1" applyFont="1" applyFill="1" applyBorder="1" applyAlignment="1">
      <alignment horizontal="center" vertical="center" shrinkToFit="1"/>
    </xf>
    <xf numFmtId="177" fontId="34" fillId="0" borderId="23" xfId="0" applyNumberFormat="1" applyFont="1" applyFill="1" applyBorder="1" applyAlignment="1">
      <alignment horizontal="center" vertical="center" shrinkToFit="1"/>
    </xf>
    <xf numFmtId="0" fontId="34" fillId="0" borderId="27" xfId="62" applyFont="1" applyFill="1" applyBorder="1" applyAlignment="1">
      <alignment horizontal="left" vertical="center"/>
      <protection/>
    </xf>
    <xf numFmtId="0" fontId="34" fillId="0" borderId="34" xfId="62" applyFont="1" applyFill="1" applyBorder="1" applyAlignment="1">
      <alignment horizontal="left" vertical="center"/>
      <protection/>
    </xf>
    <xf numFmtId="0" fontId="34" fillId="0" borderId="29" xfId="62" applyFont="1" applyFill="1" applyBorder="1" applyAlignment="1">
      <alignment horizontal="left" vertical="center"/>
      <protection/>
    </xf>
    <xf numFmtId="3" fontId="34" fillId="0" borderId="0" xfId="48" applyNumberFormat="1" applyFont="1" applyFill="1" applyBorder="1" applyAlignment="1">
      <alignment horizontal="right" vertical="center" shrinkToFit="1"/>
    </xf>
    <xf numFmtId="0" fontId="34" fillId="0" borderId="29" xfId="0" applyNumberFormat="1" applyFont="1" applyFill="1" applyBorder="1" applyAlignment="1">
      <alignment vertical="center"/>
    </xf>
    <xf numFmtId="0" fontId="32" fillId="0" borderId="22" xfId="0" applyNumberFormat="1" applyFont="1" applyFill="1" applyBorder="1" applyAlignment="1">
      <alignment vertical="center"/>
    </xf>
    <xf numFmtId="177" fontId="34" fillId="0" borderId="35" xfId="48" applyNumberFormat="1" applyFont="1" applyFill="1" applyBorder="1" applyAlignment="1">
      <alignment horizontal="left" vertical="center" shrinkToFit="1"/>
    </xf>
    <xf numFmtId="177" fontId="34" fillId="0" borderId="35" xfId="0" applyNumberFormat="1" applyFont="1" applyFill="1" applyBorder="1" applyAlignment="1">
      <alignment horizontal="right" vertical="center" shrinkToFit="1"/>
    </xf>
    <xf numFmtId="177" fontId="34" fillId="0" borderId="35" xfId="0" applyNumberFormat="1" applyFont="1" applyFill="1" applyBorder="1" applyAlignment="1">
      <alignment horizontal="center" vertical="center" shrinkToFit="1"/>
    </xf>
    <xf numFmtId="177" fontId="34" fillId="0" borderId="35" xfId="62" applyNumberFormat="1" applyFont="1" applyFill="1" applyBorder="1" applyAlignment="1">
      <alignment horizontal="center" vertical="center" shrinkToFit="1"/>
      <protection/>
    </xf>
    <xf numFmtId="3" fontId="34" fillId="0" borderId="36" xfId="0" applyNumberFormat="1" applyFont="1" applyFill="1" applyBorder="1" applyAlignment="1">
      <alignment horizontal="right" vertical="center" shrinkToFit="1"/>
    </xf>
    <xf numFmtId="0" fontId="34" fillId="0" borderId="27" xfId="62" applyFont="1" applyFill="1" applyBorder="1" applyAlignment="1">
      <alignment horizontal="left" vertical="center" shrinkToFit="1"/>
      <protection/>
    </xf>
    <xf numFmtId="0" fontId="34" fillId="0" borderId="29" xfId="62" applyFont="1" applyFill="1" applyBorder="1" applyAlignment="1">
      <alignment horizontal="left" vertical="center" shrinkToFit="1"/>
      <protection/>
    </xf>
    <xf numFmtId="0" fontId="34" fillId="0" borderId="37" xfId="62" applyFont="1" applyFill="1" applyBorder="1" applyAlignment="1">
      <alignment horizontal="left" vertical="center"/>
      <protection/>
    </xf>
    <xf numFmtId="0" fontId="34" fillId="0" borderId="0" xfId="62" applyNumberFormat="1" applyFont="1" applyFill="1" applyBorder="1" applyAlignment="1">
      <alignment horizontal="left" vertical="center" shrinkToFit="1"/>
      <protection/>
    </xf>
    <xf numFmtId="0" fontId="34" fillId="0" borderId="32" xfId="62" applyNumberFormat="1" applyFont="1" applyFill="1" applyBorder="1" applyAlignment="1">
      <alignment vertical="center" shrinkToFit="1"/>
      <protection/>
    </xf>
    <xf numFmtId="41" fontId="32" fillId="0" borderId="0" xfId="48" applyFont="1" applyAlignment="1">
      <alignment vertical="center"/>
    </xf>
    <xf numFmtId="42" fontId="34" fillId="0" borderId="26" xfId="61" applyFont="1" applyFill="1" applyBorder="1" applyAlignment="1">
      <alignment horizontal="left" vertical="center"/>
    </xf>
    <xf numFmtId="42" fontId="34" fillId="0" borderId="0" xfId="61" applyFont="1" applyFill="1" applyBorder="1" applyAlignment="1">
      <alignment horizontal="left" vertical="center"/>
    </xf>
    <xf numFmtId="42" fontId="34" fillId="0" borderId="29" xfId="61" applyFont="1" applyFill="1" applyBorder="1" applyAlignment="1">
      <alignment horizontal="left" vertical="center" shrinkToFit="1"/>
    </xf>
    <xf numFmtId="42" fontId="34" fillId="0" borderId="28" xfId="61" applyFont="1" applyFill="1" applyBorder="1" applyAlignment="1">
      <alignment vertical="center" shrinkToFit="1"/>
    </xf>
    <xf numFmtId="42" fontId="34" fillId="0" borderId="28" xfId="61" applyFont="1" applyFill="1" applyBorder="1" applyAlignment="1">
      <alignment horizontal="right" vertical="center" shrinkToFit="1"/>
    </xf>
    <xf numFmtId="180" fontId="34" fillId="0" borderId="28" xfId="61" applyNumberFormat="1" applyFont="1" applyFill="1" applyBorder="1" applyAlignment="1">
      <alignment vertical="center" shrinkToFit="1"/>
    </xf>
    <xf numFmtId="41" fontId="34" fillId="0" borderId="0" xfId="48" applyFont="1" applyFill="1" applyAlignment="1">
      <alignment vertical="center"/>
    </xf>
    <xf numFmtId="42" fontId="32" fillId="0" borderId="0" xfId="61" applyFont="1" applyFill="1" applyAlignment="1">
      <alignment vertical="center" shrinkToFit="1"/>
    </xf>
    <xf numFmtId="42" fontId="32" fillId="0" borderId="0" xfId="61" applyFont="1" applyFill="1" applyAlignment="1">
      <alignment vertical="center"/>
    </xf>
    <xf numFmtId="177" fontId="34" fillId="0" borderId="0" xfId="62" applyNumberFormat="1" applyFont="1" applyFill="1" applyBorder="1" applyAlignment="1">
      <alignment horizontal="center" vertical="center" shrinkToFit="1"/>
      <protection/>
    </xf>
    <xf numFmtId="0" fontId="34" fillId="0" borderId="22" xfId="0" applyNumberFormat="1" applyFont="1" applyFill="1" applyBorder="1" applyAlignment="1">
      <alignment vertical="center"/>
    </xf>
    <xf numFmtId="0" fontId="34" fillId="0" borderId="23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" vertical="center" shrinkToFit="1"/>
    </xf>
    <xf numFmtId="177" fontId="32" fillId="0" borderId="0" xfId="0" applyNumberFormat="1" applyFont="1" applyFill="1" applyAlignment="1">
      <alignment horizontal="center" vertical="center" shrinkToFit="1"/>
    </xf>
    <xf numFmtId="0" fontId="34" fillId="0" borderId="29" xfId="62" applyFont="1" applyFill="1" applyBorder="1" applyAlignment="1">
      <alignment horizontal="left" vertical="center" wrapText="1"/>
      <protection/>
    </xf>
    <xf numFmtId="0" fontId="34" fillId="0" borderId="0" xfId="62" applyFont="1" applyFill="1" applyBorder="1" applyAlignment="1">
      <alignment horizontal="left" vertical="center" wrapText="1"/>
      <protection/>
    </xf>
    <xf numFmtId="177" fontId="34" fillId="0" borderId="0" xfId="0" applyNumberFormat="1" applyFont="1" applyFill="1" applyBorder="1" applyAlignment="1">
      <alignment horizontal="right" vertical="center"/>
    </xf>
    <xf numFmtId="0" fontId="34" fillId="0" borderId="28" xfId="62" applyFont="1" applyFill="1" applyBorder="1" applyAlignment="1">
      <alignment horizontal="left" vertical="center" wrapText="1"/>
      <protection/>
    </xf>
    <xf numFmtId="0" fontId="34" fillId="0" borderId="0" xfId="62" applyFont="1" applyFill="1" applyBorder="1" applyAlignment="1">
      <alignment vertical="center" shrinkToFit="1"/>
      <protection/>
    </xf>
    <xf numFmtId="0" fontId="34" fillId="0" borderId="34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34" fillId="0" borderId="29" xfId="0" applyFont="1" applyFill="1" applyBorder="1" applyAlignment="1">
      <alignment vertical="center"/>
    </xf>
    <xf numFmtId="0" fontId="34" fillId="0" borderId="27" xfId="0" applyFont="1" applyFill="1" applyBorder="1" applyAlignment="1">
      <alignment vertical="center" shrinkToFit="1"/>
    </xf>
    <xf numFmtId="3" fontId="34" fillId="0" borderId="21" xfId="0" applyNumberFormat="1" applyFont="1" applyFill="1" applyBorder="1" applyAlignment="1">
      <alignment vertical="center" shrinkToFit="1"/>
    </xf>
    <xf numFmtId="3" fontId="34" fillId="0" borderId="20" xfId="0" applyNumberFormat="1" applyFont="1" applyFill="1" applyBorder="1" applyAlignment="1">
      <alignment horizontal="right" vertical="center" shrinkToFit="1"/>
    </xf>
    <xf numFmtId="0" fontId="34" fillId="0" borderId="15" xfId="0" applyFont="1" applyFill="1" applyBorder="1" applyAlignment="1">
      <alignment vertical="center"/>
    </xf>
    <xf numFmtId="0" fontId="34" fillId="0" borderId="16" xfId="62" applyFont="1" applyFill="1" applyBorder="1" applyAlignment="1">
      <alignment vertical="center" shrinkToFit="1"/>
      <protection/>
    </xf>
    <xf numFmtId="3" fontId="34" fillId="0" borderId="15" xfId="62" applyNumberFormat="1" applyFont="1" applyFill="1" applyBorder="1" applyAlignment="1">
      <alignment vertical="center" shrinkToFit="1"/>
      <protection/>
    </xf>
    <xf numFmtId="3" fontId="34" fillId="0" borderId="15" xfId="0" applyNumberFormat="1" applyFont="1" applyFill="1" applyBorder="1" applyAlignment="1">
      <alignment vertical="center" shrinkToFit="1"/>
    </xf>
    <xf numFmtId="180" fontId="34" fillId="0" borderId="15" xfId="62" applyNumberFormat="1" applyFont="1" applyFill="1" applyBorder="1" applyAlignment="1">
      <alignment vertical="center" shrinkToFit="1"/>
      <protection/>
    </xf>
    <xf numFmtId="0" fontId="34" fillId="0" borderId="16" xfId="62" applyNumberFormat="1" applyFont="1" applyFill="1" applyBorder="1" applyAlignment="1">
      <alignment horizontal="left" vertical="center" shrinkToFit="1"/>
      <protection/>
    </xf>
    <xf numFmtId="0" fontId="34" fillId="0" borderId="10" xfId="62" applyNumberFormat="1" applyFont="1" applyFill="1" applyBorder="1" applyAlignment="1">
      <alignment horizontal="left" vertical="center" shrinkToFit="1"/>
      <protection/>
    </xf>
    <xf numFmtId="177" fontId="34" fillId="0" borderId="10" xfId="0" applyNumberFormat="1" applyFont="1" applyFill="1" applyBorder="1" applyAlignment="1">
      <alignment horizontal="center" vertical="center" shrinkToFit="1"/>
    </xf>
    <xf numFmtId="177" fontId="34" fillId="0" borderId="10" xfId="48" applyNumberFormat="1" applyFont="1" applyFill="1" applyBorder="1" applyAlignment="1">
      <alignment horizontal="left" vertical="center" shrinkToFit="1"/>
    </xf>
    <xf numFmtId="3" fontId="34" fillId="0" borderId="38" xfId="0" applyNumberFormat="1" applyFont="1" applyFill="1" applyBorder="1" applyAlignment="1">
      <alignment horizontal="right" vertical="center" shrinkToFit="1"/>
    </xf>
    <xf numFmtId="0" fontId="36" fillId="24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34" fillId="0" borderId="0" xfId="0" applyNumberFormat="1" applyFont="1" applyFill="1" applyAlignment="1">
      <alignment vertical="center" shrinkToFit="1"/>
    </xf>
    <xf numFmtId="176" fontId="32" fillId="0" borderId="0" xfId="0" applyNumberFormat="1" applyFont="1" applyFill="1" applyAlignment="1">
      <alignment vertical="center" shrinkToFit="1"/>
    </xf>
    <xf numFmtId="0" fontId="36" fillId="24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right" vertical="center" shrinkToFit="1"/>
    </xf>
    <xf numFmtId="0" fontId="34" fillId="0" borderId="0" xfId="0" applyFont="1" applyFill="1" applyAlignment="1">
      <alignment horizontal="center" vertical="center" shrinkToFit="1"/>
    </xf>
    <xf numFmtId="3" fontId="32" fillId="0" borderId="0" xfId="48" applyNumberFormat="1" applyFont="1" applyFill="1" applyAlignment="1">
      <alignment horizontal="right" vertical="center" shrinkToFit="1"/>
    </xf>
    <xf numFmtId="0" fontId="32" fillId="0" borderId="0" xfId="0" applyFont="1" applyAlignment="1">
      <alignment vertical="center"/>
    </xf>
    <xf numFmtId="0" fontId="37" fillId="0" borderId="0" xfId="63" applyFont="1" applyAlignment="1">
      <alignment vertical="center"/>
      <protection/>
    </xf>
    <xf numFmtId="177" fontId="52" fillId="24" borderId="0" xfId="0" applyNumberFormat="1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7" fillId="0" borderId="10" xfId="63" applyFont="1" applyBorder="1" applyAlignment="1">
      <alignment vertical="center"/>
      <protection/>
    </xf>
    <xf numFmtId="0" fontId="38" fillId="0" borderId="0" xfId="0" applyFont="1" applyAlignment="1">
      <alignment vertical="center"/>
    </xf>
    <xf numFmtId="41" fontId="36" fillId="0" borderId="28" xfId="48" applyNumberFormat="1" applyFont="1" applyFill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/>
    </xf>
    <xf numFmtId="179" fontId="36" fillId="0" borderId="39" xfId="0" applyNumberFormat="1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177" fontId="36" fillId="0" borderId="41" xfId="0" applyNumberFormat="1" applyFont="1" applyBorder="1" applyAlignment="1">
      <alignment horizontal="right" vertical="center"/>
    </xf>
    <xf numFmtId="180" fontId="36" fillId="0" borderId="41" xfId="62" applyNumberFormat="1" applyFont="1" applyBorder="1" applyAlignment="1">
      <alignment horizontal="right" vertical="center" shrinkToFit="1"/>
      <protection/>
    </xf>
    <xf numFmtId="180" fontId="36" fillId="0" borderId="42" xfId="0" applyNumberFormat="1" applyFont="1" applyBorder="1" applyAlignment="1">
      <alignment horizontal="right" vertical="center"/>
    </xf>
    <xf numFmtId="180" fontId="36" fillId="0" borderId="43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right" vertical="center"/>
    </xf>
    <xf numFmtId="180" fontId="32" fillId="0" borderId="21" xfId="62" applyNumberFormat="1" applyFont="1" applyBorder="1" applyAlignment="1">
      <alignment horizontal="right" vertical="center" shrinkToFit="1"/>
      <protection/>
    </xf>
    <xf numFmtId="180" fontId="32" fillId="0" borderId="44" xfId="0" applyNumberFormat="1" applyFont="1" applyBorder="1" applyAlignment="1">
      <alignment horizontal="right" vertical="center"/>
    </xf>
    <xf numFmtId="3" fontId="38" fillId="0" borderId="20" xfId="0" applyNumberFormat="1" applyFont="1" applyBorder="1" applyAlignment="1">
      <alignment horizontal="right" vertical="center"/>
    </xf>
    <xf numFmtId="3" fontId="32" fillId="0" borderId="20" xfId="0" applyNumberFormat="1" applyFont="1" applyBorder="1" applyAlignment="1">
      <alignment horizontal="right" vertical="center"/>
    </xf>
    <xf numFmtId="3" fontId="38" fillId="0" borderId="21" xfId="0" applyNumberFormat="1" applyFont="1" applyBorder="1" applyAlignment="1">
      <alignment horizontal="right" vertical="center"/>
    </xf>
    <xf numFmtId="180" fontId="32" fillId="0" borderId="39" xfId="0" applyNumberFormat="1" applyFont="1" applyBorder="1" applyAlignment="1">
      <alignment horizontal="right" vertical="center"/>
    </xf>
    <xf numFmtId="180" fontId="32" fillId="0" borderId="45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80" fontId="3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horizontal="center" vertical="center"/>
    </xf>
    <xf numFmtId="179" fontId="32" fillId="0" borderId="0" xfId="0" applyNumberFormat="1" applyFont="1" applyBorder="1" applyAlignment="1">
      <alignment vertical="center"/>
    </xf>
    <xf numFmtId="41" fontId="32" fillId="0" borderId="0" xfId="0" applyNumberFormat="1" applyFont="1" applyFill="1" applyAlignment="1">
      <alignment vertical="center" shrinkToFit="1"/>
    </xf>
    <xf numFmtId="0" fontId="54" fillId="0" borderId="0" xfId="0" applyNumberFormat="1" applyFont="1" applyFill="1" applyAlignment="1">
      <alignment vertical="center" shrinkToFit="1"/>
    </xf>
    <xf numFmtId="181" fontId="30" fillId="0" borderId="0" xfId="0" applyNumberFormat="1" applyFont="1" applyFill="1" applyAlignment="1">
      <alignment horizontal="right" vertical="center" shrinkToFit="1"/>
    </xf>
    <xf numFmtId="181" fontId="30" fillId="0" borderId="0" xfId="0" applyNumberFormat="1" applyFont="1" applyFill="1" applyBorder="1" applyAlignment="1">
      <alignment horizontal="center" vertical="center" shrinkToFit="1"/>
    </xf>
    <xf numFmtId="181" fontId="30" fillId="0" borderId="30" xfId="0" applyNumberFormat="1" applyFont="1" applyFill="1" applyBorder="1" applyAlignment="1">
      <alignment horizontal="center" vertical="center" shrinkToFit="1"/>
    </xf>
    <xf numFmtId="181" fontId="53" fillId="0" borderId="10" xfId="0" applyNumberFormat="1" applyFont="1" applyFill="1" applyBorder="1" applyAlignment="1">
      <alignment horizontal="center" vertical="center" shrinkToFit="1"/>
    </xf>
    <xf numFmtId="181" fontId="30" fillId="0" borderId="10" xfId="0" applyNumberFormat="1" applyFont="1" applyFill="1" applyBorder="1" applyAlignment="1">
      <alignment vertical="center" shrinkToFit="1"/>
    </xf>
    <xf numFmtId="0" fontId="54" fillId="0" borderId="10" xfId="0" applyNumberFormat="1" applyFont="1" applyFill="1" applyBorder="1" applyAlignment="1">
      <alignment vertical="center" shrinkToFit="1"/>
    </xf>
    <xf numFmtId="41" fontId="31" fillId="0" borderId="11" xfId="48" applyNumberFormat="1" applyFont="1" applyFill="1" applyBorder="1" applyAlignment="1">
      <alignment horizontal="center" vertical="center" shrinkToFit="1"/>
    </xf>
    <xf numFmtId="41" fontId="31" fillId="0" borderId="15" xfId="48" applyNumberFormat="1" applyFont="1" applyFill="1" applyBorder="1" applyAlignment="1">
      <alignment horizontal="center" vertical="center" shrinkToFit="1"/>
    </xf>
    <xf numFmtId="3" fontId="31" fillId="0" borderId="28" xfId="62" applyNumberFormat="1" applyFont="1" applyFill="1" applyBorder="1" applyAlignment="1">
      <alignment horizontal="right" vertical="center" shrinkToFit="1"/>
      <protection/>
    </xf>
    <xf numFmtId="0" fontId="53" fillId="0" borderId="0" xfId="0" applyNumberFormat="1" applyFont="1" applyFill="1" applyAlignment="1">
      <alignment horizontal="center" vertical="center" shrinkToFit="1"/>
    </xf>
    <xf numFmtId="0" fontId="32" fillId="0" borderId="0" xfId="0" applyFont="1" applyFill="1" applyAlignment="1">
      <alignment horizontal="left" vertical="center" shrinkToFit="1"/>
    </xf>
    <xf numFmtId="0" fontId="32" fillId="0" borderId="0" xfId="0" applyNumberFormat="1" applyFont="1" applyFill="1" applyAlignment="1">
      <alignment horizontal="right" vertical="center" shrinkToFit="1"/>
    </xf>
    <xf numFmtId="0" fontId="32" fillId="0" borderId="0" xfId="0" applyFont="1" applyFill="1" applyAlignment="1">
      <alignment horizontal="right" vertical="center" shrinkToFit="1"/>
    </xf>
    <xf numFmtId="3" fontId="32" fillId="0" borderId="30" xfId="0" applyNumberFormat="1" applyFont="1" applyFill="1" applyBorder="1" applyAlignment="1">
      <alignment horizontal="right" vertical="center" shrinkToFit="1"/>
    </xf>
    <xf numFmtId="3" fontId="34" fillId="0" borderId="20" xfId="48" applyNumberFormat="1" applyFont="1" applyFill="1" applyBorder="1" applyAlignment="1">
      <alignment vertical="center" shrinkToFit="1"/>
    </xf>
    <xf numFmtId="180" fontId="34" fillId="0" borderId="21" xfId="62" applyNumberFormat="1" applyFont="1" applyFill="1" applyBorder="1" applyAlignment="1">
      <alignment horizontal="right" vertical="center" shrinkToFit="1"/>
      <protection/>
    </xf>
    <xf numFmtId="0" fontId="34" fillId="0" borderId="23" xfId="0" applyFont="1" applyFill="1" applyBorder="1" applyAlignment="1">
      <alignment vertical="center" shrinkToFit="1"/>
    </xf>
    <xf numFmtId="0" fontId="34" fillId="0" borderId="23" xfId="0" applyNumberFormat="1" applyFont="1" applyFill="1" applyBorder="1" applyAlignment="1">
      <alignment vertical="center" shrinkToFit="1"/>
    </xf>
    <xf numFmtId="0" fontId="34" fillId="0" borderId="23" xfId="0" applyFont="1" applyFill="1" applyBorder="1" applyAlignment="1">
      <alignment horizontal="left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4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34" fillId="0" borderId="21" xfId="62" applyFont="1" applyFill="1" applyBorder="1" applyAlignment="1">
      <alignment horizontal="left" vertical="center" shrinkToFit="1"/>
      <protection/>
    </xf>
    <xf numFmtId="3" fontId="34" fillId="0" borderId="21" xfId="48" applyNumberFormat="1" applyFont="1" applyFill="1" applyBorder="1" applyAlignment="1">
      <alignment vertical="center" shrinkToFit="1"/>
    </xf>
    <xf numFmtId="177" fontId="34" fillId="0" borderId="0" xfId="62" applyNumberFormat="1" applyFont="1" applyFill="1" applyBorder="1" applyAlignment="1">
      <alignment vertical="center" shrinkToFit="1"/>
      <protection/>
    </xf>
    <xf numFmtId="177" fontId="34" fillId="0" borderId="0" xfId="0" applyNumberFormat="1" applyFont="1" applyFill="1" applyBorder="1" applyAlignment="1">
      <alignment horizontal="center" vertical="center"/>
    </xf>
    <xf numFmtId="180" fontId="34" fillId="0" borderId="28" xfId="62" applyNumberFormat="1" applyFont="1" applyFill="1" applyBorder="1" applyAlignment="1">
      <alignment horizontal="right" vertical="center" shrinkToFit="1"/>
      <protection/>
    </xf>
    <xf numFmtId="177" fontId="34" fillId="0" borderId="0" xfId="48" applyNumberFormat="1" applyFont="1" applyFill="1" applyBorder="1" applyAlignment="1">
      <alignment horizontal="right" vertical="center"/>
    </xf>
    <xf numFmtId="177" fontId="34" fillId="0" borderId="0" xfId="62" applyNumberFormat="1" applyFont="1" applyFill="1" applyBorder="1" applyAlignment="1">
      <alignment horizontal="center" vertical="center"/>
      <protection/>
    </xf>
    <xf numFmtId="177" fontId="34" fillId="0" borderId="30" xfId="0" applyNumberFormat="1" applyFont="1" applyFill="1" applyBorder="1" applyAlignment="1">
      <alignment horizontal="right" vertical="center" shrinkToFit="1"/>
    </xf>
    <xf numFmtId="177" fontId="34" fillId="0" borderId="23" xfId="0" applyNumberFormat="1" applyFont="1" applyFill="1" applyBorder="1" applyAlignment="1">
      <alignment horizontal="left" vertical="center" shrinkToFit="1"/>
    </xf>
    <xf numFmtId="177" fontId="34" fillId="0" borderId="23" xfId="0" applyNumberFormat="1" applyFont="1" applyFill="1" applyBorder="1" applyAlignment="1">
      <alignment horizontal="right" vertical="center" shrinkToFit="1"/>
    </xf>
    <xf numFmtId="177" fontId="34" fillId="0" borderId="23" xfId="0" applyNumberFormat="1" applyFont="1" applyFill="1" applyBorder="1" applyAlignment="1">
      <alignment horizontal="center" vertical="center"/>
    </xf>
    <xf numFmtId="177" fontId="34" fillId="0" borderId="24" xfId="0" applyNumberFormat="1" applyFont="1" applyFill="1" applyBorder="1" applyAlignment="1">
      <alignment horizontal="right" vertical="center" shrinkToFit="1"/>
    </xf>
    <xf numFmtId="177" fontId="32" fillId="0" borderId="0" xfId="0" applyNumberFormat="1" applyFont="1" applyFill="1" applyAlignment="1">
      <alignment horizontal="left" vertical="center" shrinkToFit="1"/>
    </xf>
    <xf numFmtId="177" fontId="32" fillId="0" borderId="0" xfId="0" applyNumberFormat="1" applyFont="1" applyFill="1" applyAlignment="1">
      <alignment horizontal="right" vertical="center" shrinkToFit="1"/>
    </xf>
    <xf numFmtId="177" fontId="32" fillId="0" borderId="0" xfId="0" applyNumberFormat="1" applyFont="1" applyFill="1" applyAlignment="1">
      <alignment horizontal="center" vertical="center"/>
    </xf>
    <xf numFmtId="177" fontId="32" fillId="0" borderId="30" xfId="0" applyNumberFormat="1" applyFont="1" applyFill="1" applyBorder="1" applyAlignment="1">
      <alignment horizontal="right" vertical="center" shrinkToFit="1"/>
    </xf>
    <xf numFmtId="177" fontId="32" fillId="0" borderId="0" xfId="0" applyNumberFormat="1" applyFont="1" applyFill="1" applyBorder="1" applyAlignment="1">
      <alignment horizontal="right" vertical="center" shrinkToFit="1"/>
    </xf>
    <xf numFmtId="0" fontId="34" fillId="0" borderId="21" xfId="62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vertical="center" shrinkToFit="1"/>
      <protection/>
    </xf>
    <xf numFmtId="0" fontId="34" fillId="0" borderId="28" xfId="62" applyFont="1" applyFill="1" applyBorder="1" applyAlignment="1">
      <alignment vertical="top" shrinkToFit="1"/>
      <protection/>
    </xf>
    <xf numFmtId="3" fontId="34" fillId="0" borderId="28" xfId="62" applyNumberFormat="1" applyFont="1" applyFill="1" applyBorder="1" applyAlignment="1">
      <alignment horizontal="right" vertical="center" shrinkToFit="1"/>
      <protection/>
    </xf>
    <xf numFmtId="0" fontId="34" fillId="0" borderId="37" xfId="62" applyFont="1" applyFill="1" applyBorder="1" applyAlignment="1">
      <alignment vertical="center" shrinkToFit="1"/>
      <protection/>
    </xf>
    <xf numFmtId="177" fontId="34" fillId="0" borderId="33" xfId="62" applyNumberFormat="1" applyFont="1" applyFill="1" applyBorder="1" applyAlignment="1">
      <alignment horizontal="center" vertical="center"/>
      <protection/>
    </xf>
    <xf numFmtId="3" fontId="34" fillId="0" borderId="20" xfId="62" applyNumberFormat="1" applyFont="1" applyFill="1" applyBorder="1" applyAlignment="1">
      <alignment horizontal="right" vertical="center" shrinkToFit="1"/>
      <protection/>
    </xf>
    <xf numFmtId="180" fontId="34" fillId="0" borderId="20" xfId="62" applyNumberFormat="1" applyFont="1" applyFill="1" applyBorder="1" applyAlignment="1">
      <alignment horizontal="right" vertical="center" shrinkToFit="1"/>
      <protection/>
    </xf>
    <xf numFmtId="0" fontId="34" fillId="0" borderId="46" xfId="62" applyFont="1" applyFill="1" applyBorder="1" applyAlignment="1">
      <alignment horizontal="left" vertical="center"/>
      <protection/>
    </xf>
    <xf numFmtId="3" fontId="34" fillId="0" borderId="21" xfId="62" applyNumberFormat="1" applyFont="1" applyFill="1" applyBorder="1" applyAlignment="1">
      <alignment horizontal="right" vertical="center" shrinkToFit="1"/>
      <protection/>
    </xf>
    <xf numFmtId="177" fontId="34" fillId="0" borderId="35" xfId="62" applyNumberFormat="1" applyFont="1" applyFill="1" applyBorder="1" applyAlignment="1">
      <alignment horizontal="right" vertical="center" shrinkToFit="1"/>
      <protection/>
    </xf>
    <xf numFmtId="177" fontId="34" fillId="0" borderId="35" xfId="62" applyNumberFormat="1" applyFont="1" applyFill="1" applyBorder="1" applyAlignment="1">
      <alignment horizontal="center" vertical="center"/>
      <protection/>
    </xf>
    <xf numFmtId="177" fontId="34" fillId="0" borderId="36" xfId="0" applyNumberFormat="1" applyFont="1" applyFill="1" applyBorder="1" applyAlignment="1">
      <alignment horizontal="right" vertical="center" shrinkToFit="1"/>
    </xf>
    <xf numFmtId="0" fontId="32" fillId="0" borderId="23" xfId="0" applyFont="1" applyFill="1" applyBorder="1" applyAlignment="1">
      <alignment horizontal="center" vertical="center" shrinkToFit="1"/>
    </xf>
    <xf numFmtId="177" fontId="32" fillId="0" borderId="23" xfId="0" applyNumberFormat="1" applyFont="1" applyFill="1" applyBorder="1" applyAlignment="1">
      <alignment horizontal="left" vertical="center" shrinkToFit="1"/>
    </xf>
    <xf numFmtId="177" fontId="32" fillId="0" borderId="23" xfId="0" applyNumberFormat="1" applyFont="1" applyFill="1" applyBorder="1" applyAlignment="1">
      <alignment horizontal="right" vertical="center" shrinkToFit="1"/>
    </xf>
    <xf numFmtId="177" fontId="32" fillId="0" borderId="23" xfId="0" applyNumberFormat="1" applyFont="1" applyFill="1" applyBorder="1" applyAlignment="1">
      <alignment horizontal="center" vertical="center"/>
    </xf>
    <xf numFmtId="177" fontId="32" fillId="0" borderId="24" xfId="0" applyNumberFormat="1" applyFont="1" applyFill="1" applyBorder="1" applyAlignment="1">
      <alignment horizontal="right" vertical="center" shrinkToFit="1"/>
    </xf>
    <xf numFmtId="0" fontId="34" fillId="0" borderId="21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shrinkToFit="1"/>
    </xf>
    <xf numFmtId="0" fontId="34" fillId="0" borderId="26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vertical="center" shrinkToFit="1"/>
    </xf>
    <xf numFmtId="0" fontId="34" fillId="0" borderId="21" xfId="0" applyFont="1" applyFill="1" applyBorder="1" applyAlignment="1">
      <alignment horizontal="left" vertical="center"/>
    </xf>
    <xf numFmtId="3" fontId="53" fillId="0" borderId="0" xfId="0" applyNumberFormat="1" applyFont="1" applyFill="1" applyBorder="1" applyAlignment="1">
      <alignment vertical="center"/>
    </xf>
    <xf numFmtId="0" fontId="34" fillId="0" borderId="28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 shrinkToFit="1"/>
    </xf>
    <xf numFmtId="3" fontId="34" fillId="0" borderId="37" xfId="0" applyNumberFormat="1" applyFont="1" applyFill="1" applyBorder="1" applyAlignment="1">
      <alignment horizontal="right" vertical="center" shrinkToFit="1"/>
    </xf>
    <xf numFmtId="3" fontId="31" fillId="0" borderId="0" xfId="48" applyNumberFormat="1" applyFont="1" applyFill="1" applyBorder="1" applyAlignment="1">
      <alignment vertical="center" shrinkToFit="1"/>
    </xf>
    <xf numFmtId="182" fontId="34" fillId="0" borderId="29" xfId="62" applyNumberFormat="1" applyFont="1" applyFill="1" applyBorder="1" applyAlignment="1">
      <alignment vertical="center" shrinkToFit="1"/>
      <protection/>
    </xf>
    <xf numFmtId="3" fontId="34" fillId="0" borderId="28" xfId="0" applyNumberFormat="1" applyFont="1" applyFill="1" applyBorder="1" applyAlignment="1">
      <alignment vertical="center"/>
    </xf>
    <xf numFmtId="3" fontId="34" fillId="0" borderId="37" xfId="0" applyNumberFormat="1" applyFont="1" applyFill="1" applyBorder="1" applyAlignment="1">
      <alignment vertical="center"/>
    </xf>
    <xf numFmtId="180" fontId="34" fillId="0" borderId="15" xfId="62" applyNumberFormat="1" applyFont="1" applyFill="1" applyBorder="1" applyAlignment="1">
      <alignment horizontal="right" vertical="center" shrinkToFit="1"/>
      <protection/>
    </xf>
    <xf numFmtId="0" fontId="34" fillId="0" borderId="10" xfId="0" applyNumberFormat="1" applyFont="1" applyFill="1" applyBorder="1" applyAlignment="1">
      <alignment vertical="center" shrinkToFit="1"/>
    </xf>
    <xf numFmtId="177" fontId="34" fillId="0" borderId="10" xfId="48" applyNumberFormat="1" applyFont="1" applyFill="1" applyBorder="1" applyAlignment="1">
      <alignment horizontal="right" vertical="center" shrinkToFit="1"/>
    </xf>
    <xf numFmtId="177" fontId="34" fillId="0" borderId="10" xfId="0" applyNumberFormat="1" applyFont="1" applyFill="1" applyBorder="1" applyAlignment="1">
      <alignment horizontal="right" vertical="center"/>
    </xf>
    <xf numFmtId="177" fontId="34" fillId="0" borderId="10" xfId="0" applyNumberFormat="1" applyFont="1" applyFill="1" applyBorder="1" applyAlignment="1">
      <alignment horizontal="right" vertical="center" shrinkToFit="1"/>
    </xf>
    <xf numFmtId="177" fontId="34" fillId="0" borderId="10" xfId="62" applyNumberFormat="1" applyFont="1" applyFill="1" applyBorder="1" applyAlignment="1">
      <alignment horizontal="center" vertical="center"/>
      <protection/>
    </xf>
    <xf numFmtId="177" fontId="34" fillId="0" borderId="38" xfId="0" applyNumberFormat="1" applyFont="1" applyFill="1" applyBorder="1" applyAlignment="1">
      <alignment horizontal="right" vertical="center" shrinkToFit="1"/>
    </xf>
    <xf numFmtId="41" fontId="32" fillId="0" borderId="0" xfId="62" applyNumberFormat="1" applyFont="1" applyFill="1" applyBorder="1" applyAlignment="1">
      <alignment horizontal="right" vertical="center" shrinkToFit="1"/>
      <protection/>
    </xf>
    <xf numFmtId="177" fontId="32" fillId="0" borderId="0" xfId="0" applyNumberFormat="1" applyFont="1" applyFill="1" applyBorder="1" applyAlignment="1">
      <alignment horizontal="center" vertical="center" shrinkToFit="1"/>
    </xf>
    <xf numFmtId="177" fontId="32" fillId="0" borderId="0" xfId="0" applyNumberFormat="1" applyFont="1" applyFill="1" applyBorder="1" applyAlignment="1">
      <alignment horizontal="left" vertical="center" shrinkToFit="1"/>
    </xf>
    <xf numFmtId="177" fontId="32" fillId="0" borderId="0" xfId="0" applyNumberFormat="1" applyFont="1" applyFill="1" applyBorder="1" applyAlignment="1">
      <alignment horizontal="center" vertical="center"/>
    </xf>
    <xf numFmtId="41" fontId="32" fillId="0" borderId="0" xfId="48" applyFont="1" applyFill="1" applyAlignment="1">
      <alignment horizontal="center" vertical="center" shrinkToFit="1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47" xfId="0" applyFont="1" applyFill="1" applyBorder="1" applyAlignment="1">
      <alignment vertical="center"/>
    </xf>
    <xf numFmtId="3" fontId="34" fillId="0" borderId="15" xfId="0" applyNumberFormat="1" applyFont="1" applyFill="1" applyBorder="1" applyAlignment="1">
      <alignment horizontal="right" vertical="center" shrinkToFit="1"/>
    </xf>
    <xf numFmtId="0" fontId="34" fillId="0" borderId="47" xfId="62" applyFont="1" applyFill="1" applyBorder="1" applyAlignment="1">
      <alignment horizontal="left" vertical="center"/>
      <protection/>
    </xf>
    <xf numFmtId="0" fontId="34" fillId="0" borderId="15" xfId="62" applyFont="1" applyFill="1" applyBorder="1" applyAlignment="1">
      <alignment horizontal="left" vertical="center"/>
      <protection/>
    </xf>
    <xf numFmtId="0" fontId="34" fillId="0" borderId="16" xfId="62" applyNumberFormat="1" applyFont="1" applyFill="1" applyBorder="1" applyAlignment="1">
      <alignment horizontal="center" vertical="center" shrinkToFit="1"/>
      <protection/>
    </xf>
    <xf numFmtId="0" fontId="34" fillId="0" borderId="48" xfId="62" applyFont="1" applyFill="1" applyBorder="1" applyAlignment="1">
      <alignment horizontal="left" vertical="center"/>
      <protection/>
    </xf>
    <xf numFmtId="0" fontId="34" fillId="0" borderId="10" xfId="62" applyNumberFormat="1" applyFont="1" applyFill="1" applyBorder="1" applyAlignment="1">
      <alignment vertical="center" shrinkToFit="1"/>
      <protection/>
    </xf>
    <xf numFmtId="0" fontId="34" fillId="0" borderId="10" xfId="62" applyFont="1" applyFill="1" applyBorder="1" applyAlignment="1">
      <alignment horizontal="left" vertical="center"/>
      <protection/>
    </xf>
    <xf numFmtId="0" fontId="34" fillId="0" borderId="16" xfId="62" applyFont="1" applyFill="1" applyBorder="1" applyAlignment="1">
      <alignment horizontal="left" vertical="center" shrinkToFit="1"/>
      <protection/>
    </xf>
    <xf numFmtId="0" fontId="34" fillId="0" borderId="16" xfId="0" applyNumberFormat="1" applyFont="1" applyFill="1" applyBorder="1" applyAlignment="1">
      <alignment vertical="center"/>
    </xf>
    <xf numFmtId="0" fontId="34" fillId="0" borderId="16" xfId="62" applyNumberFormat="1" applyFont="1" applyFill="1" applyBorder="1" applyAlignment="1">
      <alignment vertical="center" shrinkToFit="1"/>
      <protection/>
    </xf>
    <xf numFmtId="0" fontId="34" fillId="0" borderId="16" xfId="62" applyFont="1" applyFill="1" applyBorder="1" applyAlignment="1">
      <alignment horizontal="left" vertical="center" wrapText="1"/>
      <protection/>
    </xf>
    <xf numFmtId="181" fontId="30" fillId="0" borderId="10" xfId="0" applyNumberFormat="1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41" fontId="31" fillId="0" borderId="0" xfId="48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21" xfId="0" applyFont="1" applyFill="1" applyBorder="1" applyAlignment="1">
      <alignment horizontal="left" vertical="center" shrinkToFit="1"/>
    </xf>
    <xf numFmtId="0" fontId="32" fillId="0" borderId="49" xfId="0" applyFont="1" applyBorder="1" applyAlignment="1">
      <alignment vertical="center"/>
    </xf>
    <xf numFmtId="180" fontId="38" fillId="0" borderId="50" xfId="0" applyNumberFormat="1" applyFont="1" applyBorder="1" applyAlignment="1">
      <alignment horizontal="left" vertical="center"/>
    </xf>
    <xf numFmtId="0" fontId="32" fillId="0" borderId="25" xfId="0" applyFont="1" applyBorder="1" applyAlignment="1">
      <alignment vertical="center"/>
    </xf>
    <xf numFmtId="180" fontId="38" fillId="0" borderId="25" xfId="0" applyNumberFormat="1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177" fontId="34" fillId="0" borderId="35" xfId="62" applyNumberFormat="1" applyFont="1" applyFill="1" applyBorder="1" applyAlignment="1">
      <alignment vertical="center" shrinkToFit="1"/>
      <protection/>
    </xf>
    <xf numFmtId="177" fontId="34" fillId="0" borderId="35" xfId="62" applyNumberFormat="1" applyFont="1" applyFill="1" applyBorder="1" applyAlignment="1">
      <alignment horizontal="left" vertical="center" shrinkToFit="1"/>
      <protection/>
    </xf>
    <xf numFmtId="3" fontId="34" fillId="0" borderId="30" xfId="0" applyNumberFormat="1" applyFont="1" applyFill="1" applyBorder="1" applyAlignment="1">
      <alignment vertical="center" shrinkToFit="1"/>
    </xf>
    <xf numFmtId="0" fontId="34" fillId="0" borderId="35" xfId="62" applyNumberFormat="1" applyFont="1" applyFill="1" applyBorder="1" applyAlignment="1">
      <alignment vertical="center" shrinkToFit="1"/>
      <protection/>
    </xf>
    <xf numFmtId="0" fontId="34" fillId="0" borderId="0" xfId="0" applyNumberFormat="1" applyFont="1" applyFill="1" applyBorder="1" applyAlignment="1">
      <alignment horizontal="center" vertical="center" shrinkToFit="1"/>
    </xf>
    <xf numFmtId="0" fontId="34" fillId="0" borderId="0" xfId="62" applyNumberFormat="1" applyFont="1" applyFill="1" applyBorder="1" applyAlignment="1">
      <alignment horizontal="center" vertical="center" shrinkToFit="1"/>
      <protection/>
    </xf>
    <xf numFmtId="186" fontId="34" fillId="0" borderId="23" xfId="0" applyNumberFormat="1" applyFont="1" applyFill="1" applyBorder="1" applyAlignment="1">
      <alignment vertical="center" shrinkToFit="1"/>
    </xf>
    <xf numFmtId="187" fontId="34" fillId="0" borderId="23" xfId="0" applyNumberFormat="1" applyFont="1" applyFill="1" applyBorder="1" applyAlignment="1">
      <alignment vertical="center" shrinkToFit="1"/>
    </xf>
    <xf numFmtId="3" fontId="34" fillId="0" borderId="36" xfId="0" applyNumberFormat="1" applyFont="1" applyFill="1" applyBorder="1" applyAlignment="1">
      <alignment vertical="center" shrinkToFit="1"/>
    </xf>
    <xf numFmtId="0" fontId="34" fillId="0" borderId="33" xfId="62" applyNumberFormat="1" applyFont="1" applyFill="1" applyBorder="1" applyAlignment="1">
      <alignment horizontal="center" vertical="center" shrinkToFit="1"/>
      <protection/>
    </xf>
    <xf numFmtId="3" fontId="32" fillId="0" borderId="36" xfId="0" applyNumberFormat="1" applyFont="1" applyFill="1" applyBorder="1" applyAlignment="1">
      <alignment vertical="center"/>
    </xf>
    <xf numFmtId="0" fontId="34" fillId="0" borderId="10" xfId="62" applyNumberFormat="1" applyFont="1" applyFill="1" applyBorder="1" applyAlignment="1">
      <alignment horizontal="center" vertical="center" shrinkToFit="1"/>
      <protection/>
    </xf>
    <xf numFmtId="0" fontId="34" fillId="0" borderId="35" xfId="62" applyNumberFormat="1" applyFont="1" applyFill="1" applyBorder="1" applyAlignment="1">
      <alignment horizontal="center" vertical="center" shrinkToFit="1"/>
      <protection/>
    </xf>
    <xf numFmtId="177" fontId="34" fillId="0" borderId="35" xfId="48" applyNumberFormat="1" applyFont="1" applyFill="1" applyBorder="1" applyAlignment="1">
      <alignment horizontal="right" vertical="center" shrinkToFit="1"/>
    </xf>
    <xf numFmtId="177" fontId="34" fillId="0" borderId="35" xfId="0" applyNumberFormat="1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vertical="center"/>
    </xf>
    <xf numFmtId="0" fontId="34" fillId="0" borderId="23" xfId="62" applyNumberFormat="1" applyFont="1" applyFill="1" applyBorder="1" applyAlignment="1">
      <alignment horizontal="center" vertical="center" shrinkToFit="1"/>
      <protection/>
    </xf>
    <xf numFmtId="177" fontId="34" fillId="0" borderId="23" xfId="48" applyNumberFormat="1" applyFont="1" applyFill="1" applyBorder="1" applyAlignment="1">
      <alignment horizontal="right" vertical="center" shrinkToFit="1"/>
    </xf>
    <xf numFmtId="177" fontId="34" fillId="0" borderId="23" xfId="48" applyNumberFormat="1" applyFont="1" applyFill="1" applyBorder="1" applyAlignment="1">
      <alignment horizontal="left" vertical="center" shrinkToFit="1"/>
    </xf>
    <xf numFmtId="177" fontId="34" fillId="0" borderId="23" xfId="62" applyNumberFormat="1" applyFont="1" applyFill="1" applyBorder="1" applyAlignment="1">
      <alignment horizontal="center" vertical="center"/>
      <protection/>
    </xf>
    <xf numFmtId="41" fontId="32" fillId="0" borderId="0" xfId="48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177" fontId="32" fillId="0" borderId="0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 shrinkToFit="1"/>
    </xf>
    <xf numFmtId="3" fontId="34" fillId="0" borderId="15" xfId="0" applyNumberFormat="1" applyFont="1" applyFill="1" applyBorder="1" applyAlignment="1">
      <alignment vertical="center"/>
    </xf>
    <xf numFmtId="3" fontId="34" fillId="0" borderId="51" xfId="0" applyNumberFormat="1" applyFont="1" applyFill="1" applyBorder="1" applyAlignment="1">
      <alignment vertical="center"/>
    </xf>
    <xf numFmtId="3" fontId="34" fillId="0" borderId="35" xfId="48" applyNumberFormat="1" applyFont="1" applyFill="1" applyBorder="1" applyAlignment="1">
      <alignment vertical="center" shrinkToFit="1"/>
    </xf>
    <xf numFmtId="3" fontId="34" fillId="0" borderId="36" xfId="48" applyNumberFormat="1" applyFont="1" applyFill="1" applyBorder="1" applyAlignment="1">
      <alignment vertical="center" shrinkToFit="1"/>
    </xf>
    <xf numFmtId="0" fontId="31" fillId="0" borderId="16" xfId="62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 vertical="center" shrinkToFit="1"/>
    </xf>
    <xf numFmtId="0" fontId="34" fillId="0" borderId="22" xfId="62" applyNumberFormat="1" applyFont="1" applyFill="1" applyBorder="1" applyAlignment="1">
      <alignment horizontal="center" vertical="center" shrinkToFit="1"/>
      <protection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0" borderId="27" xfId="62" applyNumberFormat="1" applyFont="1" applyFill="1" applyBorder="1" applyAlignment="1">
      <alignment horizontal="center" vertical="center" shrinkToFit="1"/>
      <protection/>
    </xf>
    <xf numFmtId="0" fontId="34" fillId="0" borderId="29" xfId="0" applyNumberFormat="1" applyFont="1" applyFill="1" applyBorder="1" applyAlignment="1">
      <alignment horizontal="center" vertical="center" shrinkToFit="1"/>
    </xf>
    <xf numFmtId="0" fontId="32" fillId="0" borderId="22" xfId="0" applyNumberFormat="1" applyFont="1" applyFill="1" applyBorder="1" applyAlignment="1">
      <alignment horizontal="center" vertical="center" shrinkToFit="1"/>
    </xf>
    <xf numFmtId="0" fontId="34" fillId="0" borderId="23" xfId="62" applyNumberFormat="1" applyFont="1" applyFill="1" applyBorder="1" applyAlignment="1">
      <alignment vertical="center" shrinkToFit="1"/>
      <protection/>
    </xf>
    <xf numFmtId="0" fontId="34" fillId="0" borderId="0" xfId="0" applyNumberFormat="1" applyFont="1" applyFill="1" applyBorder="1" applyAlignment="1">
      <alignment horizontal="left" vertical="center" shrinkToFit="1"/>
    </xf>
    <xf numFmtId="0" fontId="32" fillId="0" borderId="29" xfId="0" applyNumberFormat="1" applyFont="1" applyFill="1" applyBorder="1" applyAlignment="1">
      <alignment horizontal="center" vertical="center" shrinkToFit="1"/>
    </xf>
    <xf numFmtId="0" fontId="32" fillId="0" borderId="29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Alignment="1">
      <alignment vertical="center" shrinkToFit="1"/>
    </xf>
    <xf numFmtId="0" fontId="34" fillId="0" borderId="0" xfId="0" applyNumberFormat="1" applyFont="1" applyFill="1" applyAlignment="1">
      <alignment vertical="center"/>
    </xf>
    <xf numFmtId="177" fontId="34" fillId="0" borderId="52" xfId="0" applyNumberFormat="1" applyFont="1" applyFill="1" applyBorder="1" applyAlignment="1">
      <alignment horizontal="right" vertical="center" shrinkToFit="1"/>
    </xf>
    <xf numFmtId="3" fontId="34" fillId="0" borderId="52" xfId="0" applyNumberFormat="1" applyFont="1" applyFill="1" applyBorder="1" applyAlignment="1">
      <alignment horizontal="right" vertical="center" shrinkToFit="1"/>
    </xf>
    <xf numFmtId="177" fontId="32" fillId="0" borderId="35" xfId="0" applyNumberFormat="1" applyFont="1" applyFill="1" applyBorder="1" applyAlignment="1">
      <alignment horizontal="center" vertical="center" shrinkToFit="1"/>
    </xf>
    <xf numFmtId="0" fontId="55" fillId="24" borderId="53" xfId="0" applyFont="1" applyFill="1" applyBorder="1" applyAlignment="1">
      <alignment vertical="center" shrinkToFit="1"/>
    </xf>
    <xf numFmtId="3" fontId="34" fillId="25" borderId="54" xfId="62" applyNumberFormat="1" applyFont="1" applyFill="1" applyBorder="1" applyAlignment="1">
      <alignment horizontal="center" vertical="center" shrinkToFit="1"/>
      <protection/>
    </xf>
    <xf numFmtId="3" fontId="34" fillId="0" borderId="0" xfId="0" applyNumberFormat="1" applyFont="1" applyFill="1" applyBorder="1" applyAlignment="1">
      <alignment horizontal="center" vertical="center" shrinkToFit="1"/>
    </xf>
    <xf numFmtId="3" fontId="34" fillId="0" borderId="0" xfId="0" applyNumberFormat="1" applyFont="1" applyFill="1" applyAlignment="1">
      <alignment horizontal="right" vertical="center" shrinkToFit="1"/>
    </xf>
    <xf numFmtId="0" fontId="56" fillId="0" borderId="0" xfId="0" applyFont="1" applyFill="1" applyAlignment="1">
      <alignment horizontal="left" vertical="center" shrinkToFit="1"/>
    </xf>
    <xf numFmtId="0" fontId="56" fillId="0" borderId="0" xfId="0" applyFont="1" applyFill="1" applyAlignment="1">
      <alignment horizontal="center" vertical="center" shrinkToFit="1"/>
    </xf>
    <xf numFmtId="3" fontId="34" fillId="25" borderId="55" xfId="62" applyNumberFormat="1" applyFont="1" applyFill="1" applyBorder="1" applyAlignment="1">
      <alignment horizontal="center" vertical="center" shrinkToFit="1"/>
      <protection/>
    </xf>
    <xf numFmtId="3" fontId="56" fillId="24" borderId="56" xfId="0" applyNumberFormat="1" applyFont="1" applyFill="1" applyBorder="1" applyAlignment="1">
      <alignment horizontal="left" vertical="center" shrinkToFit="1"/>
    </xf>
    <xf numFmtId="0" fontId="56" fillId="24" borderId="53" xfId="0" applyFont="1" applyFill="1" applyBorder="1" applyAlignment="1">
      <alignment horizontal="center" vertical="center" shrinkToFit="1"/>
    </xf>
    <xf numFmtId="3" fontId="56" fillId="24" borderId="53" xfId="0" applyNumberFormat="1" applyFont="1" applyFill="1" applyBorder="1" applyAlignment="1">
      <alignment horizontal="left" vertical="center" shrinkToFit="1"/>
    </xf>
    <xf numFmtId="3" fontId="56" fillId="24" borderId="53" xfId="0" applyNumberFormat="1" applyFont="1" applyFill="1" applyBorder="1" applyAlignment="1">
      <alignment horizontal="center" vertical="center" shrinkToFit="1"/>
    </xf>
    <xf numFmtId="3" fontId="56" fillId="26" borderId="53" xfId="0" applyNumberFormat="1" applyFont="1" applyFill="1" applyBorder="1" applyAlignment="1">
      <alignment horizontal="center" vertical="center" shrinkToFit="1"/>
    </xf>
    <xf numFmtId="3" fontId="56" fillId="0" borderId="53" xfId="0" applyNumberFormat="1" applyFont="1" applyFill="1" applyBorder="1" applyAlignment="1">
      <alignment horizontal="center" vertical="center" shrinkToFit="1"/>
    </xf>
    <xf numFmtId="189" fontId="56" fillId="27" borderId="53" xfId="0" applyNumberFormat="1" applyFont="1" applyFill="1" applyBorder="1" applyAlignment="1">
      <alignment horizontal="center" vertical="center" shrinkToFit="1"/>
    </xf>
    <xf numFmtId="0" fontId="56" fillId="0" borderId="53" xfId="0" applyFont="1" applyFill="1" applyBorder="1" applyAlignment="1">
      <alignment horizontal="center" vertical="center" shrinkToFit="1"/>
    </xf>
    <xf numFmtId="189" fontId="56" fillId="26" borderId="53" xfId="0" applyNumberFormat="1" applyFont="1" applyFill="1" applyBorder="1" applyAlignment="1">
      <alignment horizontal="center" vertical="center" shrinkToFit="1"/>
    </xf>
    <xf numFmtId="3" fontId="34" fillId="0" borderId="0" xfId="0" applyNumberFormat="1" applyFont="1" applyFill="1" applyBorder="1" applyAlignment="1">
      <alignment vertical="center" shrinkToFit="1"/>
    </xf>
    <xf numFmtId="0" fontId="32" fillId="0" borderId="29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 shrinkToFit="1"/>
    </xf>
    <xf numFmtId="177" fontId="34" fillId="0" borderId="57" xfId="0" applyNumberFormat="1" applyFont="1" applyFill="1" applyBorder="1" applyAlignment="1">
      <alignment horizontal="left" vertical="center" shrinkToFit="1"/>
    </xf>
    <xf numFmtId="177" fontId="32" fillId="0" borderId="0" xfId="0" applyNumberFormat="1" applyFont="1" applyFill="1" applyAlignment="1">
      <alignment vertical="center" shrinkToFit="1"/>
    </xf>
    <xf numFmtId="177" fontId="34" fillId="25" borderId="58" xfId="0" applyNumberFormat="1" applyFont="1" applyFill="1" applyBorder="1" applyAlignment="1">
      <alignment horizontal="left" vertical="center" shrinkToFit="1"/>
    </xf>
    <xf numFmtId="177" fontId="34" fillId="25" borderId="56" xfId="0" applyNumberFormat="1" applyFont="1" applyFill="1" applyBorder="1" applyAlignment="1">
      <alignment horizontal="left" vertical="center" shrinkToFit="1"/>
    </xf>
    <xf numFmtId="177" fontId="34" fillId="0" borderId="56" xfId="0" applyNumberFormat="1" applyFont="1" applyFill="1" applyBorder="1" applyAlignment="1">
      <alignment horizontal="left" vertical="center" shrinkToFit="1"/>
    </xf>
    <xf numFmtId="177" fontId="34" fillId="24" borderId="56" xfId="0" applyNumberFormat="1" applyFont="1" applyFill="1" applyBorder="1" applyAlignment="1">
      <alignment horizontal="left" vertical="center" shrinkToFit="1"/>
    </xf>
    <xf numFmtId="177" fontId="52" fillId="0" borderId="0" xfId="0" applyNumberFormat="1" applyFont="1" applyBorder="1" applyAlignment="1">
      <alignment vertical="center" shrinkToFit="1"/>
    </xf>
    <xf numFmtId="177" fontId="34" fillId="0" borderId="58" xfId="0" applyNumberFormat="1" applyFont="1" applyFill="1" applyBorder="1" applyAlignment="1">
      <alignment vertical="center" shrinkToFit="1"/>
    </xf>
    <xf numFmtId="177" fontId="34" fillId="0" borderId="56" xfId="0" applyNumberFormat="1" applyFont="1" applyFill="1" applyBorder="1" applyAlignment="1">
      <alignment vertical="center" shrinkToFit="1"/>
    </xf>
    <xf numFmtId="177" fontId="34" fillId="0" borderId="53" xfId="0" applyNumberFormat="1" applyFont="1" applyFill="1" applyBorder="1" applyAlignment="1">
      <alignment vertical="center" shrinkToFit="1"/>
    </xf>
    <xf numFmtId="177" fontId="52" fillId="0" borderId="0" xfId="0" applyNumberFormat="1" applyFont="1" applyAlignment="1">
      <alignment horizontal="left" vertical="center" shrinkToFit="1"/>
    </xf>
    <xf numFmtId="177" fontId="56" fillId="25" borderId="56" xfId="0" applyNumberFormat="1" applyFont="1" applyFill="1" applyBorder="1" applyAlignment="1">
      <alignment horizontal="left" vertical="center" shrinkToFit="1"/>
    </xf>
    <xf numFmtId="177" fontId="34" fillId="25" borderId="58" xfId="0" applyNumberFormat="1" applyFont="1" applyFill="1" applyBorder="1" applyAlignment="1">
      <alignment vertical="center" shrinkToFit="1"/>
    </xf>
    <xf numFmtId="177" fontId="34" fillId="25" borderId="53" xfId="0" applyNumberFormat="1" applyFont="1" applyFill="1" applyBorder="1" applyAlignment="1">
      <alignment vertical="center" shrinkToFit="1"/>
    </xf>
    <xf numFmtId="177" fontId="57" fillId="0" borderId="59" xfId="48" applyNumberFormat="1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177" fontId="34" fillId="0" borderId="60" xfId="0" applyNumberFormat="1" applyFont="1" applyFill="1" applyBorder="1" applyAlignment="1">
      <alignment vertical="center" shrinkToFit="1"/>
    </xf>
    <xf numFmtId="0" fontId="32" fillId="0" borderId="35" xfId="0" applyNumberFormat="1" applyFont="1" applyFill="1" applyBorder="1" applyAlignment="1">
      <alignment horizontal="center" vertical="center" shrinkToFit="1"/>
    </xf>
    <xf numFmtId="177" fontId="34" fillId="25" borderId="56" xfId="0" applyNumberFormat="1" applyFont="1" applyFill="1" applyBorder="1" applyAlignment="1">
      <alignment vertical="center" shrinkToFit="1"/>
    </xf>
    <xf numFmtId="177" fontId="56" fillId="25" borderId="58" xfId="0" applyNumberFormat="1" applyFont="1" applyFill="1" applyBorder="1" applyAlignment="1">
      <alignment horizontal="left" vertical="center" shrinkToFit="1"/>
    </xf>
    <xf numFmtId="177" fontId="56" fillId="25" borderId="56" xfId="61" applyNumberFormat="1" applyFont="1" applyFill="1" applyBorder="1" applyAlignment="1">
      <alignment horizontal="left" vertical="center" shrinkToFit="1"/>
    </xf>
    <xf numFmtId="177" fontId="56" fillId="25" borderId="53" xfId="61" applyNumberFormat="1" applyFont="1" applyFill="1" applyBorder="1" applyAlignment="1">
      <alignment horizontal="left" vertical="center" shrinkToFit="1"/>
    </xf>
    <xf numFmtId="177" fontId="34" fillId="25" borderId="53" xfId="61" applyNumberFormat="1" applyFont="1" applyFill="1" applyBorder="1" applyAlignment="1">
      <alignment vertical="center" shrinkToFit="1"/>
    </xf>
    <xf numFmtId="177" fontId="56" fillId="25" borderId="53" xfId="0" applyNumberFormat="1" applyFont="1" applyFill="1" applyBorder="1" applyAlignment="1">
      <alignment horizontal="left" vertical="center" shrinkToFit="1"/>
    </xf>
    <xf numFmtId="178" fontId="36" fillId="0" borderId="21" xfId="48" applyNumberFormat="1" applyFont="1" applyFill="1" applyBorder="1" applyAlignment="1">
      <alignment horizontal="center" shrinkToFit="1"/>
    </xf>
    <xf numFmtId="178" fontId="36" fillId="0" borderId="21" xfId="0" applyNumberFormat="1" applyFont="1" applyBorder="1" applyAlignment="1">
      <alignment horizontal="center"/>
    </xf>
    <xf numFmtId="183" fontId="34" fillId="0" borderId="35" xfId="62" applyNumberFormat="1" applyFont="1" applyFill="1" applyBorder="1" applyAlignment="1">
      <alignment horizontal="center" vertical="center" shrinkToFit="1"/>
      <protection/>
    </xf>
    <xf numFmtId="184" fontId="34" fillId="0" borderId="0" xfId="48" applyNumberFormat="1" applyFont="1" applyFill="1" applyBorder="1" applyAlignment="1">
      <alignment horizontal="center" vertical="center" shrinkToFit="1"/>
    </xf>
    <xf numFmtId="183" fontId="34" fillId="0" borderId="0" xfId="62" applyNumberFormat="1" applyFont="1" applyFill="1" applyBorder="1" applyAlignment="1">
      <alignment horizontal="center" vertical="center" shrinkToFit="1"/>
      <protection/>
    </xf>
    <xf numFmtId="184" fontId="34" fillId="0" borderId="35" xfId="48" applyNumberFormat="1" applyFont="1" applyFill="1" applyBorder="1" applyAlignment="1">
      <alignment horizontal="center" vertical="center" shrinkToFit="1"/>
    </xf>
    <xf numFmtId="42" fontId="34" fillId="0" borderId="0" xfId="61" applyFont="1" applyFill="1" applyBorder="1" applyAlignment="1">
      <alignment horizontal="center" vertical="center" shrinkToFit="1"/>
    </xf>
    <xf numFmtId="42" fontId="34" fillId="0" borderId="0" xfId="61" applyFont="1" applyFill="1" applyBorder="1" applyAlignment="1">
      <alignment vertical="center" shrinkToFit="1"/>
    </xf>
    <xf numFmtId="42" fontId="34" fillId="0" borderId="0" xfId="61" applyFont="1" applyFill="1" applyBorder="1" applyAlignment="1">
      <alignment horizontal="left" vertical="center" shrinkToFit="1"/>
    </xf>
    <xf numFmtId="42" fontId="34" fillId="0" borderId="0" xfId="6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184" fontId="34" fillId="0" borderId="10" xfId="48" applyNumberFormat="1" applyFont="1" applyFill="1" applyBorder="1" applyAlignment="1">
      <alignment horizontal="center" vertical="center" shrinkToFit="1"/>
    </xf>
    <xf numFmtId="177" fontId="56" fillId="26" borderId="61" xfId="0" applyNumberFormat="1" applyFont="1" applyFill="1" applyBorder="1" applyAlignment="1">
      <alignment horizontal="left" vertical="center" shrinkToFit="1"/>
    </xf>
    <xf numFmtId="177" fontId="56" fillId="26" borderId="58" xfId="0" applyNumberFormat="1" applyFont="1" applyFill="1" applyBorder="1" applyAlignment="1">
      <alignment horizontal="left" vertical="center" shrinkToFit="1"/>
    </xf>
    <xf numFmtId="177" fontId="34" fillId="26" borderId="56" xfId="0" applyNumberFormat="1" applyFont="1" applyFill="1" applyBorder="1" applyAlignment="1">
      <alignment horizontal="left" vertical="center" shrinkToFit="1"/>
    </xf>
    <xf numFmtId="177" fontId="56" fillId="26" borderId="56" xfId="0" applyNumberFormat="1" applyFont="1" applyFill="1" applyBorder="1" applyAlignment="1">
      <alignment horizontal="left" vertical="center" shrinkToFit="1"/>
    </xf>
    <xf numFmtId="177" fontId="56" fillId="26" borderId="62" xfId="0" applyNumberFormat="1" applyFont="1" applyFill="1" applyBorder="1" applyAlignment="1">
      <alignment horizontal="left" vertical="center" shrinkToFit="1"/>
    </xf>
    <xf numFmtId="177" fontId="56" fillId="26" borderId="0" xfId="0" applyNumberFormat="1" applyFont="1" applyFill="1" applyAlignment="1">
      <alignment vertical="center" shrinkToFit="1"/>
    </xf>
    <xf numFmtId="177" fontId="56" fillId="26" borderId="57" xfId="0" applyNumberFormat="1" applyFont="1" applyFill="1" applyBorder="1" applyAlignment="1">
      <alignment horizontal="left" vertical="center" shrinkToFit="1"/>
    </xf>
    <xf numFmtId="0" fontId="34" fillId="0" borderId="22" xfId="62" applyFont="1" applyFill="1" applyBorder="1" applyAlignment="1">
      <alignment horizontal="left" vertical="center"/>
      <protection/>
    </xf>
    <xf numFmtId="3" fontId="34" fillId="0" borderId="31" xfId="62" applyNumberFormat="1" applyFont="1" applyFill="1" applyBorder="1" applyAlignment="1">
      <alignment horizontal="right" vertical="center" shrinkToFit="1"/>
      <protection/>
    </xf>
    <xf numFmtId="3" fontId="34" fillId="0" borderId="31" xfId="0" applyNumberFormat="1" applyFont="1" applyFill="1" applyBorder="1" applyAlignment="1">
      <alignment horizontal="right" vertical="center" shrinkToFit="1"/>
    </xf>
    <xf numFmtId="180" fontId="34" fillId="0" borderId="31" xfId="62" applyNumberFormat="1" applyFont="1" applyFill="1" applyBorder="1" applyAlignment="1">
      <alignment horizontal="right" vertical="center" shrinkToFit="1"/>
      <protection/>
    </xf>
    <xf numFmtId="0" fontId="32" fillId="0" borderId="33" xfId="0" applyFont="1" applyFill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34" fillId="0" borderId="15" xfId="62" applyFont="1" applyFill="1" applyBorder="1" applyAlignment="1">
      <alignment vertical="center" shrinkToFit="1"/>
      <protection/>
    </xf>
    <xf numFmtId="3" fontId="34" fillId="0" borderId="15" xfId="62" applyNumberFormat="1" applyFont="1" applyFill="1" applyBorder="1" applyAlignment="1">
      <alignment horizontal="right" vertical="center" shrinkToFit="1"/>
      <protection/>
    </xf>
    <xf numFmtId="0" fontId="34" fillId="0" borderId="63" xfId="62" applyFont="1" applyFill="1" applyBorder="1" applyAlignment="1">
      <alignment horizontal="left" vertical="center"/>
      <protection/>
    </xf>
    <xf numFmtId="0" fontId="34" fillId="0" borderId="20" xfId="62" applyFont="1" applyFill="1" applyBorder="1" applyAlignment="1">
      <alignment horizontal="left" vertical="center" shrinkToFit="1"/>
      <protection/>
    </xf>
    <xf numFmtId="3" fontId="38" fillId="0" borderId="14" xfId="0" applyNumberFormat="1" applyFont="1" applyBorder="1" applyAlignment="1">
      <alignment horizontal="right" vertical="center"/>
    </xf>
    <xf numFmtId="0" fontId="38" fillId="0" borderId="4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3" fontId="34" fillId="25" borderId="65" xfId="62" applyNumberFormat="1" applyFont="1" applyFill="1" applyBorder="1" applyAlignment="1">
      <alignment horizontal="center" vertical="center" shrinkToFit="1"/>
      <protection/>
    </xf>
    <xf numFmtId="3" fontId="34" fillId="25" borderId="34" xfId="62" applyNumberFormat="1" applyFont="1" applyFill="1" applyBorder="1" applyAlignment="1">
      <alignment horizontal="center" vertical="center" shrinkToFit="1"/>
      <protection/>
    </xf>
    <xf numFmtId="3" fontId="34" fillId="25" borderId="66" xfId="62" applyNumberFormat="1" applyFont="1" applyFill="1" applyBorder="1" applyAlignment="1">
      <alignment horizontal="center" vertical="center" shrinkToFit="1"/>
      <protection/>
    </xf>
    <xf numFmtId="3" fontId="52" fillId="25" borderId="55" xfId="0" applyNumberFormat="1" applyFont="1" applyFill="1" applyBorder="1" applyAlignment="1">
      <alignment vertical="center" shrinkToFit="1"/>
    </xf>
    <xf numFmtId="3" fontId="52" fillId="25" borderId="67" xfId="0" applyNumberFormat="1" applyFont="1" applyFill="1" applyBorder="1" applyAlignment="1">
      <alignment vertical="center" shrinkToFit="1"/>
    </xf>
    <xf numFmtId="3" fontId="52" fillId="25" borderId="66" xfId="0" applyNumberFormat="1" applyFont="1" applyFill="1" applyBorder="1" applyAlignment="1">
      <alignment vertical="center" shrinkToFit="1"/>
    </xf>
    <xf numFmtId="3" fontId="52" fillId="25" borderId="68" xfId="0" applyNumberFormat="1" applyFont="1" applyFill="1" applyBorder="1" applyAlignment="1">
      <alignment horizontal="right" vertical="center" shrinkToFit="1"/>
    </xf>
    <xf numFmtId="3" fontId="52" fillId="25" borderId="69" xfId="0" applyNumberFormat="1" applyFont="1" applyFill="1" applyBorder="1" applyAlignment="1">
      <alignment horizontal="right" vertical="center" shrinkToFit="1"/>
    </xf>
    <xf numFmtId="3" fontId="52" fillId="25" borderId="70" xfId="0" applyNumberFormat="1" applyFont="1" applyFill="1" applyBorder="1" applyAlignment="1">
      <alignment horizontal="right" vertical="center" shrinkToFit="1"/>
    </xf>
    <xf numFmtId="3" fontId="52" fillId="25" borderId="71" xfId="62" applyNumberFormat="1" applyFont="1" applyFill="1" applyBorder="1" applyAlignment="1">
      <alignment horizontal="center" vertical="center" shrinkToFit="1"/>
      <protection/>
    </xf>
    <xf numFmtId="3" fontId="52" fillId="25" borderId="72" xfId="62" applyNumberFormat="1" applyFont="1" applyFill="1" applyBorder="1" applyAlignment="1">
      <alignment horizontal="center" vertical="center" shrinkToFit="1"/>
      <protection/>
    </xf>
    <xf numFmtId="3" fontId="52" fillId="25" borderId="73" xfId="0" applyNumberFormat="1" applyFont="1" applyFill="1" applyBorder="1" applyAlignment="1">
      <alignment horizontal="right" vertical="center" shrinkToFit="1"/>
    </xf>
    <xf numFmtId="3" fontId="52" fillId="25" borderId="74" xfId="0" applyNumberFormat="1" applyFont="1" applyFill="1" applyBorder="1" applyAlignment="1">
      <alignment horizontal="right" vertical="center" shrinkToFit="1"/>
    </xf>
    <xf numFmtId="3" fontId="52" fillId="25" borderId="75" xfId="62" applyNumberFormat="1" applyFont="1" applyFill="1" applyBorder="1" applyAlignment="1">
      <alignment horizontal="center" vertical="center" shrinkToFit="1"/>
      <protection/>
    </xf>
    <xf numFmtId="3" fontId="31" fillId="26" borderId="76" xfId="0" applyNumberFormat="1" applyFont="1" applyFill="1" applyBorder="1" applyAlignment="1">
      <alignment horizontal="center" vertical="center" shrinkToFit="1"/>
    </xf>
    <xf numFmtId="0" fontId="34" fillId="0" borderId="32" xfId="0" applyNumberFormat="1" applyFont="1" applyFill="1" applyBorder="1" applyAlignment="1">
      <alignment horizontal="center" vertical="center" shrinkToFit="1"/>
    </xf>
    <xf numFmtId="177" fontId="34" fillId="0" borderId="0" xfId="0" applyNumberFormat="1" applyFont="1" applyFill="1" applyBorder="1" applyAlignment="1">
      <alignment horizontal="left" vertical="center" shrinkToFit="1"/>
    </xf>
    <xf numFmtId="3" fontId="52" fillId="0" borderId="0" xfId="0" applyNumberFormat="1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180" fontId="32" fillId="0" borderId="14" xfId="62" applyNumberFormat="1" applyFont="1" applyBorder="1" applyAlignment="1">
      <alignment horizontal="right" vertical="center" shrinkToFit="1"/>
      <protection/>
    </xf>
    <xf numFmtId="177" fontId="52" fillId="28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center" vertical="center" shrinkToFit="1"/>
    </xf>
    <xf numFmtId="0" fontId="31" fillId="0" borderId="0" xfId="0" applyFont="1" applyFill="1" applyBorder="1" applyAlignment="1">
      <alignment vertical="center" shrinkToFit="1"/>
    </xf>
    <xf numFmtId="177" fontId="36" fillId="0" borderId="0" xfId="0" applyNumberFormat="1" applyFont="1" applyFill="1" applyBorder="1" applyAlignment="1">
      <alignment horizontal="right" vertical="center" shrinkToFit="1"/>
    </xf>
    <xf numFmtId="0" fontId="36" fillId="0" borderId="0" xfId="0" applyFont="1" applyFill="1" applyAlignment="1">
      <alignment vertical="center"/>
    </xf>
    <xf numFmtId="177" fontId="36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shrinkToFit="1"/>
    </xf>
    <xf numFmtId="3" fontId="52" fillId="26" borderId="0" xfId="0" applyNumberFormat="1" applyFont="1" applyFill="1" applyBorder="1" applyAlignment="1">
      <alignment horizontal="center" vertical="center" shrinkToFit="1"/>
    </xf>
    <xf numFmtId="3" fontId="52" fillId="24" borderId="77" xfId="0" applyNumberFormat="1" applyFont="1" applyFill="1" applyBorder="1" applyAlignment="1">
      <alignment horizontal="left" vertical="center" shrinkToFit="1"/>
    </xf>
    <xf numFmtId="3" fontId="52" fillId="24" borderId="56" xfId="0" applyNumberFormat="1" applyFont="1" applyFill="1" applyBorder="1" applyAlignment="1">
      <alignment horizontal="left" vertical="center" shrinkToFit="1"/>
    </xf>
    <xf numFmtId="0" fontId="52" fillId="24" borderId="78" xfId="0" applyFont="1" applyFill="1" applyBorder="1" applyAlignment="1">
      <alignment horizontal="left" vertical="center" shrinkToFit="1"/>
    </xf>
    <xf numFmtId="0" fontId="52" fillId="24" borderId="78" xfId="0" applyFont="1" applyFill="1" applyBorder="1" applyAlignment="1">
      <alignment vertical="center"/>
    </xf>
    <xf numFmtId="17" fontId="52" fillId="24" borderId="78" xfId="0" applyNumberFormat="1" applyFont="1" applyFill="1" applyBorder="1" applyAlignment="1">
      <alignment horizontal="left" vertical="center" shrinkToFit="1"/>
    </xf>
    <xf numFmtId="0" fontId="52" fillId="26" borderId="78" xfId="0" applyFont="1" applyFill="1" applyBorder="1" applyAlignment="1">
      <alignment horizontal="left" vertical="center" shrinkToFit="1"/>
    </xf>
    <xf numFmtId="0" fontId="52" fillId="0" borderId="78" xfId="0" applyFont="1" applyFill="1" applyBorder="1" applyAlignment="1">
      <alignment horizontal="left" vertical="center" shrinkToFit="1"/>
    </xf>
    <xf numFmtId="0" fontId="52" fillId="27" borderId="78" xfId="0" applyFont="1" applyFill="1" applyBorder="1" applyAlignment="1">
      <alignment horizontal="left" vertical="center" shrinkToFit="1"/>
    </xf>
    <xf numFmtId="0" fontId="52" fillId="0" borderId="0" xfId="0" applyFont="1" applyFill="1" applyAlignment="1">
      <alignment vertical="center"/>
    </xf>
    <xf numFmtId="3" fontId="52" fillId="29" borderId="68" xfId="0" applyNumberFormat="1" applyFont="1" applyFill="1" applyBorder="1" applyAlignment="1">
      <alignment horizontal="right" vertical="center" shrinkToFit="1"/>
    </xf>
    <xf numFmtId="3" fontId="52" fillId="29" borderId="69" xfId="0" applyNumberFormat="1" applyFont="1" applyFill="1" applyBorder="1" applyAlignment="1">
      <alignment horizontal="right" vertical="center" shrinkToFit="1"/>
    </xf>
    <xf numFmtId="3" fontId="52" fillId="29" borderId="70" xfId="0" applyNumberFormat="1" applyFont="1" applyFill="1" applyBorder="1" applyAlignment="1">
      <alignment horizontal="right" vertical="center" shrinkToFit="1"/>
    </xf>
    <xf numFmtId="3" fontId="52" fillId="29" borderId="79" xfId="0" applyNumberFormat="1" applyFont="1" applyFill="1" applyBorder="1" applyAlignment="1">
      <alignment vertical="center" shrinkToFit="1"/>
    </xf>
    <xf numFmtId="3" fontId="52" fillId="29" borderId="69" xfId="0" applyNumberFormat="1" applyFont="1" applyFill="1" applyBorder="1" applyAlignment="1">
      <alignment vertical="center" shrinkToFit="1"/>
    </xf>
    <xf numFmtId="3" fontId="52" fillId="29" borderId="80" xfId="0" applyNumberFormat="1" applyFont="1" applyFill="1" applyBorder="1" applyAlignment="1">
      <alignment vertical="center" shrinkToFit="1"/>
    </xf>
    <xf numFmtId="183" fontId="34" fillId="0" borderId="35" xfId="62" applyNumberFormat="1" applyFont="1" applyFill="1" applyBorder="1" applyAlignment="1">
      <alignment vertical="center" shrinkToFit="1"/>
      <protection/>
    </xf>
    <xf numFmtId="0" fontId="34" fillId="0" borderId="35" xfId="62" applyNumberFormat="1" applyFont="1" applyFill="1" applyBorder="1" applyAlignment="1">
      <alignment horizontal="right" vertical="center" shrinkToFit="1"/>
      <protection/>
    </xf>
    <xf numFmtId="0" fontId="34" fillId="0" borderId="0" xfId="0" applyNumberFormat="1" applyFont="1" applyFill="1" applyBorder="1" applyAlignment="1">
      <alignment horizontal="center" vertical="center"/>
    </xf>
    <xf numFmtId="177" fontId="34" fillId="0" borderId="0" xfId="0" applyNumberFormat="1" applyFont="1" applyFill="1" applyBorder="1" applyAlignment="1">
      <alignment vertical="center"/>
    </xf>
    <xf numFmtId="184" fontId="34" fillId="0" borderId="33" xfId="48" applyNumberFormat="1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shrinkToFit="1"/>
    </xf>
    <xf numFmtId="3" fontId="32" fillId="0" borderId="52" xfId="48" applyNumberFormat="1" applyFont="1" applyFill="1" applyBorder="1" applyAlignment="1">
      <alignment horizontal="right" vertical="center" shrinkToFit="1"/>
    </xf>
    <xf numFmtId="180" fontId="34" fillId="0" borderId="31" xfId="62" applyNumberFormat="1" applyFont="1" applyFill="1" applyBorder="1" applyAlignment="1">
      <alignment vertical="center" shrinkToFit="1"/>
      <protection/>
    </xf>
    <xf numFmtId="0" fontId="34" fillId="0" borderId="33" xfId="0" applyNumberFormat="1" applyFont="1" applyFill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 shrinkToFit="1"/>
    </xf>
    <xf numFmtId="177" fontId="34" fillId="0" borderId="33" xfId="62" applyNumberFormat="1" applyFont="1" applyFill="1" applyBorder="1" applyAlignment="1">
      <alignment horizontal="center" vertical="center" shrinkToFit="1"/>
      <protection/>
    </xf>
    <xf numFmtId="0" fontId="34" fillId="0" borderId="81" xfId="62" applyFont="1" applyFill="1" applyBorder="1" applyAlignment="1">
      <alignment horizontal="left" vertical="center"/>
      <protection/>
    </xf>
    <xf numFmtId="0" fontId="34" fillId="0" borderId="31" xfId="62" applyFont="1" applyFill="1" applyBorder="1" applyAlignment="1">
      <alignment horizontal="left" vertical="center" wrapText="1"/>
      <protection/>
    </xf>
    <xf numFmtId="0" fontId="34" fillId="0" borderId="33" xfId="62" applyFont="1" applyFill="1" applyBorder="1" applyAlignment="1">
      <alignment vertical="center" shrinkToFit="1"/>
      <protection/>
    </xf>
    <xf numFmtId="0" fontId="52" fillId="26" borderId="0" xfId="0" applyFont="1" applyFill="1" applyBorder="1" applyAlignment="1">
      <alignment horizontal="left" vertical="center" shrinkToFit="1"/>
    </xf>
    <xf numFmtId="3" fontId="52" fillId="26" borderId="0" xfId="0" applyNumberFormat="1" applyFont="1" applyFill="1" applyBorder="1" applyAlignment="1">
      <alignment horizontal="left" vertical="center" shrinkToFit="1"/>
    </xf>
    <xf numFmtId="0" fontId="34" fillId="0" borderId="27" xfId="62" applyNumberFormat="1" applyFont="1" applyFill="1" applyBorder="1" applyAlignment="1">
      <alignment vertical="center" shrinkToFit="1"/>
      <protection/>
    </xf>
    <xf numFmtId="0" fontId="52" fillId="24" borderId="0" xfId="0" applyFont="1" applyFill="1" applyBorder="1" applyAlignment="1">
      <alignment horizontal="left" vertical="center" shrinkToFit="1"/>
    </xf>
    <xf numFmtId="3" fontId="52" fillId="24" borderId="0" xfId="0" applyNumberFormat="1" applyFont="1" applyFill="1" applyBorder="1" applyAlignment="1">
      <alignment horizontal="left" vertical="center" shrinkToFit="1"/>
    </xf>
    <xf numFmtId="0" fontId="34" fillId="0" borderId="35" xfId="62" applyNumberFormat="1" applyFont="1" applyFill="1" applyBorder="1" applyAlignment="1">
      <alignment horizontal="left" vertical="center" shrinkToFit="1"/>
      <protection/>
    </xf>
    <xf numFmtId="178" fontId="26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6" fillId="0" borderId="82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0" fontId="36" fillId="0" borderId="8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7" fillId="0" borderId="0" xfId="63" applyFont="1" applyAlignment="1">
      <alignment horizontal="left" vertical="center"/>
      <protection/>
    </xf>
    <xf numFmtId="0" fontId="37" fillId="0" borderId="10" xfId="63" applyFont="1" applyBorder="1" applyAlignment="1">
      <alignment horizontal="left" vertical="center"/>
      <protection/>
    </xf>
    <xf numFmtId="3" fontId="31" fillId="26" borderId="85" xfId="0" applyNumberFormat="1" applyFont="1" applyFill="1" applyBorder="1" applyAlignment="1">
      <alignment horizontal="center" vertical="center" shrinkToFit="1"/>
    </xf>
    <xf numFmtId="0" fontId="31" fillId="0" borderId="86" xfId="62" applyFont="1" applyFill="1" applyBorder="1" applyAlignment="1">
      <alignment horizontal="center" vertical="center"/>
      <protection/>
    </xf>
    <xf numFmtId="0" fontId="31" fillId="0" borderId="41" xfId="62" applyFont="1" applyFill="1" applyBorder="1" applyAlignment="1">
      <alignment horizontal="center" vertical="center"/>
      <protection/>
    </xf>
    <xf numFmtId="0" fontId="31" fillId="0" borderId="12" xfId="62" applyFont="1" applyFill="1" applyBorder="1" applyAlignment="1">
      <alignment horizontal="left" vertical="center"/>
      <protection/>
    </xf>
    <xf numFmtId="0" fontId="32" fillId="0" borderId="12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1" fillId="0" borderId="34" xfId="62" applyFont="1" applyFill="1" applyBorder="1" applyAlignment="1">
      <alignment horizontal="center" vertical="center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31" fillId="0" borderId="37" xfId="62" applyFont="1" applyFill="1" applyBorder="1" applyAlignment="1">
      <alignment horizontal="center" vertical="center"/>
      <protection/>
    </xf>
    <xf numFmtId="0" fontId="34" fillId="0" borderId="87" xfId="62" applyFont="1" applyFill="1" applyBorder="1" applyAlignment="1">
      <alignment horizontal="left" vertical="center" wrapText="1"/>
      <protection/>
    </xf>
    <xf numFmtId="0" fontId="34" fillId="0" borderId="23" xfId="62" applyFont="1" applyFill="1" applyBorder="1" applyAlignment="1">
      <alignment horizontal="left" vertical="center" wrapText="1"/>
      <protection/>
    </xf>
    <xf numFmtId="0" fontId="34" fillId="0" borderId="50" xfId="62" applyFont="1" applyFill="1" applyBorder="1" applyAlignment="1">
      <alignment horizontal="left" vertical="center" wrapText="1"/>
      <protection/>
    </xf>
    <xf numFmtId="177" fontId="52" fillId="25" borderId="34" xfId="48" applyNumberFormat="1" applyFont="1" applyFill="1" applyBorder="1" applyAlignment="1">
      <alignment horizontal="center" vertical="center" shrinkToFit="1"/>
    </xf>
    <xf numFmtId="177" fontId="52" fillId="25" borderId="30" xfId="48" applyNumberFormat="1" applyFont="1" applyFill="1" applyBorder="1" applyAlignment="1">
      <alignment horizontal="center" vertical="center" shrinkToFit="1"/>
    </xf>
    <xf numFmtId="0" fontId="34" fillId="0" borderId="10" xfId="62" applyFont="1" applyFill="1" applyBorder="1" applyAlignment="1">
      <alignment horizontal="right" vertical="center" shrinkToFit="1"/>
      <protection/>
    </xf>
    <xf numFmtId="3" fontId="52" fillId="29" borderId="0" xfId="0" applyNumberFormat="1" applyFont="1" applyFill="1" applyAlignment="1">
      <alignment horizontal="center" vertical="center" shrinkToFit="1"/>
    </xf>
    <xf numFmtId="3" fontId="52" fillId="29" borderId="30" xfId="0" applyNumberFormat="1" applyFont="1" applyFill="1" applyBorder="1" applyAlignment="1">
      <alignment horizontal="center" vertical="center" shrinkToFit="1"/>
    </xf>
    <xf numFmtId="177" fontId="32" fillId="0" borderId="0" xfId="0" applyNumberFormat="1" applyFont="1" applyFill="1" applyBorder="1" applyAlignment="1">
      <alignment horizontal="center" vertical="center" shrinkToFit="1"/>
    </xf>
    <xf numFmtId="0" fontId="34" fillId="0" borderId="23" xfId="62" applyFont="1" applyFill="1" applyBorder="1" applyAlignment="1">
      <alignment horizontal="left" vertical="center"/>
      <protection/>
    </xf>
    <xf numFmtId="0" fontId="34" fillId="0" borderId="50" xfId="62" applyFont="1" applyFill="1" applyBorder="1" applyAlignment="1">
      <alignment horizontal="left" vertical="center"/>
      <protection/>
    </xf>
    <xf numFmtId="0" fontId="34" fillId="0" borderId="22" xfId="62" applyFont="1" applyFill="1" applyBorder="1" applyAlignment="1">
      <alignment horizontal="left" vertical="center"/>
      <protection/>
    </xf>
    <xf numFmtId="0" fontId="34" fillId="0" borderId="49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63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/>
    </xf>
    <xf numFmtId="0" fontId="34" fillId="0" borderId="87" xfId="62" applyFont="1" applyFill="1" applyBorder="1" applyAlignment="1">
      <alignment horizontal="left" vertical="center"/>
      <protection/>
    </xf>
    <xf numFmtId="0" fontId="34" fillId="0" borderId="81" xfId="62" applyFont="1" applyFill="1" applyBorder="1" applyAlignment="1">
      <alignment horizontal="left" vertical="center"/>
      <protection/>
    </xf>
    <xf numFmtId="0" fontId="34" fillId="0" borderId="33" xfId="62" applyFont="1" applyFill="1" applyBorder="1" applyAlignment="1">
      <alignment horizontal="left" vertical="center"/>
      <protection/>
    </xf>
    <xf numFmtId="0" fontId="34" fillId="0" borderId="88" xfId="62" applyFont="1" applyFill="1" applyBorder="1" applyAlignment="1">
      <alignment horizontal="left" vertical="center"/>
      <protection/>
    </xf>
    <xf numFmtId="0" fontId="52" fillId="24" borderId="34" xfId="0" applyFont="1" applyFill="1" applyBorder="1" applyAlignment="1">
      <alignment horizontal="center" vertical="center" shrinkToFit="1"/>
    </xf>
    <xf numFmtId="0" fontId="52" fillId="24" borderId="30" xfId="0" applyFont="1" applyFill="1" applyBorder="1" applyAlignment="1">
      <alignment horizontal="center" vertical="center" shrinkToFit="1"/>
    </xf>
    <xf numFmtId="0" fontId="34" fillId="0" borderId="49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181" fontId="30" fillId="0" borderId="0" xfId="0" applyNumberFormat="1" applyFont="1" applyFill="1" applyAlignment="1">
      <alignment horizontal="center" vertical="center" shrinkToFit="1"/>
    </xf>
    <xf numFmtId="181" fontId="30" fillId="0" borderId="10" xfId="0" applyNumberFormat="1" applyFont="1" applyFill="1" applyBorder="1" applyAlignment="1">
      <alignment horizontal="center" vertical="center" shrinkToFit="1"/>
    </xf>
    <xf numFmtId="189" fontId="58" fillId="26" borderId="89" xfId="0" applyNumberFormat="1" applyFont="1" applyFill="1" applyBorder="1" applyAlignment="1">
      <alignment horizontal="center" vertical="center"/>
    </xf>
    <xf numFmtId="189" fontId="58" fillId="26" borderId="90" xfId="0" applyNumberFormat="1" applyFont="1" applyFill="1" applyBorder="1" applyAlignment="1">
      <alignment horizontal="center" vertical="center"/>
    </xf>
    <xf numFmtId="185" fontId="30" fillId="0" borderId="0" xfId="0" applyNumberFormat="1" applyFont="1" applyFill="1" applyAlignment="1">
      <alignment horizontal="center" vertical="center"/>
    </xf>
    <xf numFmtId="185" fontId="30" fillId="0" borderId="10" xfId="0" applyNumberFormat="1" applyFont="1" applyFill="1" applyBorder="1" applyAlignment="1">
      <alignment horizontal="center" vertical="center"/>
    </xf>
    <xf numFmtId="41" fontId="59" fillId="0" borderId="0" xfId="48" applyFont="1" applyAlignment="1">
      <alignment horizontal="left" vertical="center"/>
    </xf>
    <xf numFmtId="0" fontId="34" fillId="0" borderId="22" xfId="62" applyFont="1" applyFill="1" applyBorder="1" applyAlignment="1">
      <alignment horizontal="left" vertical="center" wrapText="1"/>
      <protection/>
    </xf>
    <xf numFmtId="189" fontId="58" fillId="27" borderId="89" xfId="0" applyNumberFormat="1" applyFont="1" applyFill="1" applyBorder="1" applyAlignment="1">
      <alignment horizontal="center" vertical="center"/>
    </xf>
    <xf numFmtId="189" fontId="58" fillId="27" borderId="90" xfId="0" applyNumberFormat="1" applyFont="1" applyFill="1" applyBorder="1" applyAlignment="1">
      <alignment horizontal="center" vertical="center"/>
    </xf>
    <xf numFmtId="177" fontId="56" fillId="25" borderId="34" xfId="48" applyNumberFormat="1" applyFont="1" applyFill="1" applyBorder="1" applyAlignment="1">
      <alignment horizontal="center" vertical="center" shrinkToFit="1"/>
    </xf>
    <xf numFmtId="177" fontId="56" fillId="25" borderId="30" xfId="48" applyNumberFormat="1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2009년법인예산서양식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12</xdr:col>
      <xdr:colOff>552450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96964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P22" sqref="P22"/>
    </sheetView>
  </sheetViews>
  <sheetFormatPr defaultColWidth="8.88671875" defaultRowHeight="13.5"/>
  <cols>
    <col min="13" max="13" width="7.21484375" style="0" customWidth="1"/>
  </cols>
  <sheetData>
    <row r="1" spans="1:15" ht="38.25">
      <c r="A1" s="489">
        <v>2016</v>
      </c>
      <c r="B1" s="489"/>
      <c r="C1" s="2"/>
      <c r="D1" s="2"/>
      <c r="E1" s="2"/>
      <c r="F1" s="2"/>
      <c r="G1" s="2"/>
      <c r="N1" s="3" t="s">
        <v>117</v>
      </c>
      <c r="O1" s="3" t="s">
        <v>161</v>
      </c>
    </row>
    <row r="2" spans="1:15" ht="31.5">
      <c r="A2" s="491" t="s">
        <v>159</v>
      </c>
      <c r="B2" s="491"/>
      <c r="C2" s="491"/>
      <c r="D2" s="491"/>
      <c r="E2" s="491"/>
      <c r="F2" s="491"/>
      <c r="G2" s="491"/>
      <c r="N2" s="3" t="s">
        <v>206</v>
      </c>
      <c r="O2" s="3" t="s">
        <v>163</v>
      </c>
    </row>
    <row r="3" spans="1:15" ht="38.25">
      <c r="A3" s="490" t="s">
        <v>1</v>
      </c>
      <c r="B3" s="490"/>
      <c r="C3" s="490"/>
      <c r="D3" s="1"/>
      <c r="E3" s="1"/>
      <c r="F3" s="1"/>
      <c r="N3" s="3" t="s">
        <v>208</v>
      </c>
      <c r="O3" s="3" t="s">
        <v>164</v>
      </c>
    </row>
    <row r="4" spans="14:15" ht="14.25">
      <c r="N4" s="3" t="s">
        <v>205</v>
      </c>
      <c r="O4" s="3" t="s">
        <v>199</v>
      </c>
    </row>
    <row r="5" spans="14:15" ht="14.25">
      <c r="N5" s="3" t="s">
        <v>209</v>
      </c>
      <c r="O5" s="3" t="s">
        <v>166</v>
      </c>
    </row>
    <row r="6" spans="14:15" ht="14.25">
      <c r="N6" s="3"/>
      <c r="O6" s="3" t="s">
        <v>168</v>
      </c>
    </row>
    <row r="7" spans="14:15" ht="14.25">
      <c r="N7" s="3"/>
      <c r="O7" s="3" t="s">
        <v>170</v>
      </c>
    </row>
    <row r="8" spans="14:15" ht="14.25">
      <c r="N8" s="3"/>
      <c r="O8" s="3" t="s">
        <v>171</v>
      </c>
    </row>
    <row r="9" spans="14:15" ht="14.25">
      <c r="N9" s="3"/>
      <c r="O9" s="3" t="s">
        <v>198</v>
      </c>
    </row>
    <row r="10" spans="14:15" ht="14.25">
      <c r="N10" s="4"/>
      <c r="O10" s="3" t="s">
        <v>186</v>
      </c>
    </row>
    <row r="11" spans="14:15" ht="14.25">
      <c r="N11" s="4"/>
      <c r="O11" s="3" t="s">
        <v>223</v>
      </c>
    </row>
    <row r="12" spans="14:15" ht="14.25">
      <c r="N12" s="5"/>
      <c r="O12" s="6" t="s">
        <v>173</v>
      </c>
    </row>
  </sheetData>
  <sheetProtection/>
  <mergeCells count="3">
    <mergeCell ref="A1:B1"/>
    <mergeCell ref="A3:C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8.88671875" defaultRowHeight="37.5" customHeight="1"/>
  <cols>
    <col min="1" max="1" width="18.77734375" style="163" customWidth="1"/>
    <col min="2" max="3" width="10.4453125" style="163" customWidth="1"/>
    <col min="4" max="4" width="8.88671875" style="163" customWidth="1"/>
    <col min="5" max="5" width="7.6640625" style="163" customWidth="1"/>
    <col min="6" max="6" width="15.10546875" style="163" customWidth="1"/>
    <col min="7" max="8" width="10.4453125" style="163" customWidth="1"/>
    <col min="9" max="9" width="8.88671875" style="163" customWidth="1"/>
    <col min="10" max="10" width="8.3359375" style="163" customWidth="1"/>
    <col min="11" max="11" width="10.10546875" style="166" customWidth="1"/>
    <col min="12" max="12" width="8.88671875" style="166" customWidth="1"/>
    <col min="13" max="16384" width="8.88671875" style="163" customWidth="1"/>
  </cols>
  <sheetData>
    <row r="1" spans="2:11" ht="37.5" customHeight="1">
      <c r="B1" s="164"/>
      <c r="C1" s="502" t="s">
        <v>310</v>
      </c>
      <c r="D1" s="502"/>
      <c r="E1" s="502"/>
      <c r="F1" s="502"/>
      <c r="G1" s="502"/>
      <c r="H1" s="502"/>
      <c r="K1" s="165">
        <f>C6-H6</f>
        <v>0</v>
      </c>
    </row>
    <row r="2" spans="1:10" ht="37.5" customHeight="1" thickBot="1">
      <c r="A2" s="167"/>
      <c r="B2" s="167"/>
      <c r="C2" s="503"/>
      <c r="D2" s="503"/>
      <c r="E2" s="503"/>
      <c r="F2" s="503"/>
      <c r="G2" s="503"/>
      <c r="H2" s="503"/>
      <c r="I2" s="496" t="s">
        <v>2</v>
      </c>
      <c r="J2" s="496"/>
    </row>
    <row r="3" spans="1:10" s="168" customFormat="1" ht="37.5" customHeight="1">
      <c r="A3" s="497" t="s">
        <v>3</v>
      </c>
      <c r="B3" s="498"/>
      <c r="C3" s="498"/>
      <c r="D3" s="498"/>
      <c r="E3" s="499"/>
      <c r="F3" s="498" t="s">
        <v>4</v>
      </c>
      <c r="G3" s="498"/>
      <c r="H3" s="498"/>
      <c r="I3" s="498"/>
      <c r="J3" s="499"/>
    </row>
    <row r="4" spans="1:10" s="168" customFormat="1" ht="37.5" customHeight="1">
      <c r="A4" s="500" t="s">
        <v>5</v>
      </c>
      <c r="B4" s="391">
        <v>2015</v>
      </c>
      <c r="C4" s="391">
        <v>2016</v>
      </c>
      <c r="D4" s="494" t="s">
        <v>6</v>
      </c>
      <c r="E4" s="495"/>
      <c r="F4" s="492" t="s">
        <v>7</v>
      </c>
      <c r="G4" s="392">
        <f>B4</f>
        <v>2015</v>
      </c>
      <c r="H4" s="392">
        <f>C4</f>
        <v>2016</v>
      </c>
      <c r="I4" s="494" t="s">
        <v>8</v>
      </c>
      <c r="J4" s="495"/>
    </row>
    <row r="5" spans="1:12" s="168" customFormat="1" ht="37.5" customHeight="1" thickBot="1">
      <c r="A5" s="501"/>
      <c r="B5" s="169" t="s">
        <v>145</v>
      </c>
      <c r="C5" s="169" t="s">
        <v>146</v>
      </c>
      <c r="D5" s="170" t="s">
        <v>10</v>
      </c>
      <c r="E5" s="171" t="s">
        <v>137</v>
      </c>
      <c r="F5" s="493"/>
      <c r="G5" s="169" t="s">
        <v>145</v>
      </c>
      <c r="H5" s="169" t="s">
        <v>146</v>
      </c>
      <c r="I5" s="170" t="s">
        <v>10</v>
      </c>
      <c r="J5" s="171" t="s">
        <v>137</v>
      </c>
      <c r="K5" s="443">
        <f>C6-세입!E6</f>
        <v>0</v>
      </c>
      <c r="L5" s="443">
        <f>H6-세출!E6</f>
        <v>0</v>
      </c>
    </row>
    <row r="6" spans="1:10" s="168" customFormat="1" ht="37.5" customHeight="1">
      <c r="A6" s="172" t="s">
        <v>11</v>
      </c>
      <c r="B6" s="173">
        <f>SUM(B7:B12)</f>
        <v>1415374</v>
      </c>
      <c r="C6" s="173">
        <f>SUM(C7:C12)</f>
        <v>1643034</v>
      </c>
      <c r="D6" s="174">
        <f aca="true" t="shared" si="0" ref="D6:D12">C6-B6</f>
        <v>227660</v>
      </c>
      <c r="E6" s="175">
        <f aca="true" t="shared" si="1" ref="E6:E11">D6/C6*100</f>
        <v>13.856073580948417</v>
      </c>
      <c r="F6" s="176" t="s">
        <v>12</v>
      </c>
      <c r="G6" s="177">
        <f>SUM(G7:G10)</f>
        <v>1415374</v>
      </c>
      <c r="H6" s="177">
        <f>SUM(H7:H10)</f>
        <v>1643034</v>
      </c>
      <c r="I6" s="174">
        <f>H6-G6</f>
        <v>227660</v>
      </c>
      <c r="J6" s="175">
        <f>I6/H6*100</f>
        <v>13.856073580948417</v>
      </c>
    </row>
    <row r="7" spans="1:10" s="168" customFormat="1" ht="37.5" customHeight="1">
      <c r="A7" s="298" t="s">
        <v>135</v>
      </c>
      <c r="B7" s="181">
        <f>세입!D7</f>
        <v>32160</v>
      </c>
      <c r="C7" s="181">
        <f>세입!E7</f>
        <v>33408</v>
      </c>
      <c r="D7" s="178">
        <f t="shared" si="0"/>
        <v>1248</v>
      </c>
      <c r="E7" s="179">
        <f t="shared" si="1"/>
        <v>3.7356321839080464</v>
      </c>
      <c r="F7" s="299" t="s">
        <v>13</v>
      </c>
      <c r="G7" s="180">
        <f>세출!D7</f>
        <v>1254038</v>
      </c>
      <c r="H7" s="180">
        <f>세출!E7</f>
        <v>1353665</v>
      </c>
      <c r="I7" s="178">
        <f>H7-G7</f>
        <v>99627</v>
      </c>
      <c r="J7" s="179">
        <f>I7/H7*100</f>
        <v>7.359797291057979</v>
      </c>
    </row>
    <row r="8" spans="1:10" s="168" customFormat="1" ht="37.5" customHeight="1">
      <c r="A8" s="298" t="s">
        <v>141</v>
      </c>
      <c r="B8" s="181">
        <f>세입!D10</f>
        <v>1297138</v>
      </c>
      <c r="C8" s="181">
        <f>세입!E10</f>
        <v>1413326</v>
      </c>
      <c r="D8" s="178">
        <f t="shared" si="0"/>
        <v>116188</v>
      </c>
      <c r="E8" s="179">
        <f t="shared" si="1"/>
        <v>8.220891712173978</v>
      </c>
      <c r="F8" s="299" t="s">
        <v>14</v>
      </c>
      <c r="G8" s="180">
        <f>세출!D115</f>
        <v>17236</v>
      </c>
      <c r="H8" s="180">
        <f>세출!E115</f>
        <v>122580</v>
      </c>
      <c r="I8" s="178">
        <f>H8-G8</f>
        <v>105344</v>
      </c>
      <c r="J8" s="179">
        <f>I8/H8*100</f>
        <v>85.9389786262033</v>
      </c>
    </row>
    <row r="9" spans="1:10" s="168" customFormat="1" ht="37.5" customHeight="1">
      <c r="A9" s="298" t="s">
        <v>15</v>
      </c>
      <c r="B9" s="181">
        <f>세입!D26</f>
        <v>26000</v>
      </c>
      <c r="C9" s="181">
        <f>세입!E26</f>
        <v>139600</v>
      </c>
      <c r="D9" s="178">
        <f t="shared" si="0"/>
        <v>113600</v>
      </c>
      <c r="E9" s="179">
        <f t="shared" si="1"/>
        <v>81.37535816618912</v>
      </c>
      <c r="F9" s="299" t="s">
        <v>16</v>
      </c>
      <c r="G9" s="180">
        <f>세출!D127</f>
        <v>143530</v>
      </c>
      <c r="H9" s="180">
        <f>세출!E127</f>
        <v>166259</v>
      </c>
      <c r="I9" s="178">
        <f>H9-G9</f>
        <v>22729</v>
      </c>
      <c r="J9" s="179">
        <f>I9/H9*100</f>
        <v>13.670838871880619</v>
      </c>
    </row>
    <row r="10" spans="1:10" s="168" customFormat="1" ht="37.5" customHeight="1">
      <c r="A10" s="298" t="s">
        <v>302</v>
      </c>
      <c r="B10" s="181">
        <f>세입!D30</f>
        <v>4256</v>
      </c>
      <c r="C10" s="181">
        <f>세입!E30</f>
        <v>2000</v>
      </c>
      <c r="D10" s="178">
        <f t="shared" si="0"/>
        <v>-2256</v>
      </c>
      <c r="E10" s="179">
        <f>D10/C10*100</f>
        <v>-112.79999999999998</v>
      </c>
      <c r="F10" s="301" t="s">
        <v>136</v>
      </c>
      <c r="G10" s="182">
        <f>세출!D182</f>
        <v>570</v>
      </c>
      <c r="H10" s="182">
        <f>세출!E182</f>
        <v>530</v>
      </c>
      <c r="I10" s="178">
        <f>H10-G10</f>
        <v>-40</v>
      </c>
      <c r="J10" s="183">
        <f>I10/H10*100</f>
        <v>-7.547169811320755</v>
      </c>
    </row>
    <row r="11" spans="1:10" s="168" customFormat="1" ht="37.5" customHeight="1">
      <c r="A11" s="300" t="s">
        <v>17</v>
      </c>
      <c r="B11" s="181">
        <f>세입!D33</f>
        <v>29000</v>
      </c>
      <c r="C11" s="181">
        <f>세입!E33</f>
        <v>30000</v>
      </c>
      <c r="D11" s="178">
        <f t="shared" si="0"/>
        <v>1000</v>
      </c>
      <c r="E11" s="179">
        <f t="shared" si="1"/>
        <v>3.3333333333333335</v>
      </c>
      <c r="F11" s="422"/>
      <c r="G11" s="423"/>
      <c r="H11" s="423"/>
      <c r="I11" s="423"/>
      <c r="J11" s="424"/>
    </row>
    <row r="12" spans="1:10" s="168" customFormat="1" ht="37.5" customHeight="1" thickBot="1">
      <c r="A12" s="302" t="s">
        <v>18</v>
      </c>
      <c r="B12" s="421">
        <f>세입!D37</f>
        <v>26820</v>
      </c>
      <c r="C12" s="421">
        <f>세입!E37</f>
        <v>24700</v>
      </c>
      <c r="D12" s="444">
        <f t="shared" si="0"/>
        <v>-2120</v>
      </c>
      <c r="E12" s="184">
        <f>D12/C12*100</f>
        <v>-8.582995951417004</v>
      </c>
      <c r="F12" s="185"/>
      <c r="G12" s="186"/>
      <c r="H12" s="186"/>
      <c r="I12" s="186"/>
      <c r="J12" s="187"/>
    </row>
    <row r="13" spans="1:10" ht="37.5" customHeight="1">
      <c r="A13" s="188"/>
      <c r="B13" s="189"/>
      <c r="C13" s="189"/>
      <c r="D13" s="190"/>
      <c r="E13" s="191"/>
      <c r="F13" s="188"/>
      <c r="G13" s="189"/>
      <c r="H13" s="189"/>
      <c r="I13" s="190"/>
      <c r="J13" s="192"/>
    </row>
    <row r="14" spans="1:10" ht="37.5" customHeight="1">
      <c r="A14" s="188"/>
      <c r="B14" s="188"/>
      <c r="C14" s="188"/>
      <c r="D14" s="188"/>
      <c r="E14" s="193"/>
      <c r="F14" s="188"/>
      <c r="G14" s="189"/>
      <c r="H14" s="189"/>
      <c r="I14" s="190"/>
      <c r="J14" s="193"/>
    </row>
    <row r="15" spans="1:10" ht="37.5" customHeight="1">
      <c r="A15" s="188"/>
      <c r="B15" s="188"/>
      <c r="C15" s="188"/>
      <c r="D15" s="188"/>
      <c r="E15" s="193"/>
      <c r="F15" s="188"/>
      <c r="G15" s="188"/>
      <c r="H15" s="188"/>
      <c r="I15" s="188"/>
      <c r="J15" s="193"/>
    </row>
    <row r="16" spans="1:10" ht="37.5" customHeight="1">
      <c r="A16" s="188"/>
      <c r="B16" s="188"/>
      <c r="C16" s="188"/>
      <c r="D16" s="188"/>
      <c r="E16" s="193"/>
      <c r="F16" s="188"/>
      <c r="G16" s="188"/>
      <c r="H16" s="188"/>
      <c r="I16" s="188"/>
      <c r="J16" s="193"/>
    </row>
    <row r="17" spans="1:10" ht="37.5" customHeight="1">
      <c r="A17" s="188"/>
      <c r="B17" s="188"/>
      <c r="C17" s="188"/>
      <c r="D17" s="188"/>
      <c r="E17" s="193"/>
      <c r="F17" s="188"/>
      <c r="G17" s="188"/>
      <c r="H17" s="188"/>
      <c r="I17" s="188"/>
      <c r="J17" s="193"/>
    </row>
    <row r="18" spans="1:10" ht="37.5" customHeight="1">
      <c r="A18" s="188"/>
      <c r="B18" s="188"/>
      <c r="C18" s="188"/>
      <c r="D18" s="188"/>
      <c r="E18" s="193"/>
      <c r="F18" s="188"/>
      <c r="G18" s="188"/>
      <c r="H18" s="188"/>
      <c r="I18" s="188"/>
      <c r="J18" s="193"/>
    </row>
    <row r="19" spans="1:10" ht="37.5" customHeight="1">
      <c r="A19" s="188"/>
      <c r="B19" s="188"/>
      <c r="C19" s="188"/>
      <c r="D19" s="188"/>
      <c r="E19" s="193"/>
      <c r="F19" s="188"/>
      <c r="G19" s="188"/>
      <c r="H19" s="188"/>
      <c r="I19" s="188"/>
      <c r="J19" s="193"/>
    </row>
    <row r="20" spans="1:10" ht="37.5" customHeight="1">
      <c r="A20" s="188"/>
      <c r="B20" s="188"/>
      <c r="C20" s="188"/>
      <c r="D20" s="188"/>
      <c r="E20" s="193"/>
      <c r="F20" s="188"/>
      <c r="G20" s="188"/>
      <c r="H20" s="188"/>
      <c r="I20" s="188"/>
      <c r="J20" s="193"/>
    </row>
    <row r="21" spans="1:10" ht="37.5" customHeight="1">
      <c r="A21" s="188"/>
      <c r="B21" s="188"/>
      <c r="C21" s="188"/>
      <c r="D21" s="188"/>
      <c r="E21" s="193"/>
      <c r="F21" s="188"/>
      <c r="G21" s="188"/>
      <c r="H21" s="188"/>
      <c r="I21" s="188"/>
      <c r="J21" s="193"/>
    </row>
    <row r="22" spans="1:10" ht="37.5" customHeight="1">
      <c r="A22" s="188"/>
      <c r="B22" s="188"/>
      <c r="C22" s="188"/>
      <c r="D22" s="188"/>
      <c r="E22" s="193"/>
      <c r="F22" s="188"/>
      <c r="G22" s="188"/>
      <c r="H22" s="188"/>
      <c r="I22" s="188"/>
      <c r="J22" s="193"/>
    </row>
    <row r="23" spans="1:10" ht="37.5" customHeight="1">
      <c r="A23" s="188"/>
      <c r="B23" s="188"/>
      <c r="C23" s="188"/>
      <c r="D23" s="188"/>
      <c r="E23" s="193"/>
      <c r="F23" s="188"/>
      <c r="G23" s="188"/>
      <c r="H23" s="188"/>
      <c r="I23" s="188"/>
      <c r="J23" s="193"/>
    </row>
    <row r="24" spans="1:10" ht="37.5" customHeight="1">
      <c r="A24" s="188"/>
      <c r="B24" s="188"/>
      <c r="C24" s="188"/>
      <c r="D24" s="188"/>
      <c r="E24" s="193"/>
      <c r="F24" s="188"/>
      <c r="G24" s="188"/>
      <c r="H24" s="188"/>
      <c r="I24" s="188"/>
      <c r="J24" s="193"/>
    </row>
  </sheetData>
  <sheetProtection password="CC65" sheet="1"/>
  <mergeCells count="8">
    <mergeCell ref="F4:F5"/>
    <mergeCell ref="I4:J4"/>
    <mergeCell ref="I2:J2"/>
    <mergeCell ref="A3:E3"/>
    <mergeCell ref="F3:J3"/>
    <mergeCell ref="A4:A5"/>
    <mergeCell ref="D4:E4"/>
    <mergeCell ref="C1:H2"/>
  </mergeCells>
  <printOptions horizontalCentered="1"/>
  <pageMargins left="1.1023622047244095" right="0.1968503937007874" top="0.8661417322834646" bottom="0.5118110236220472" header="0.31496062992125984" footer="0.2755905511811024"/>
  <pageSetup horizontalDpi="600" verticalDpi="600" orientation="landscape" paperSize="9" r:id="rId1"/>
  <headerFooter>
    <oddFooter>&amp;C-&amp;[1-&amp;R향기마을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90" zoomScaleNormal="90" workbookViewId="0" topLeftCell="A1">
      <pane ySplit="6" topLeftCell="A7" activePane="bottomLeft" state="frozen"/>
      <selection pane="topLeft" activeCell="A1" sqref="A1"/>
      <selection pane="bottomLeft" activeCell="AD13" sqref="AD13"/>
    </sheetView>
  </sheetViews>
  <sheetFormatPr defaultColWidth="8.88671875" defaultRowHeight="13.5"/>
  <cols>
    <col min="1" max="1" width="2.21484375" style="7" customWidth="1"/>
    <col min="2" max="2" width="2.21484375" style="19" customWidth="1"/>
    <col min="3" max="3" width="17.88671875" style="17" customWidth="1"/>
    <col min="4" max="6" width="8.88671875" style="194" customWidth="1"/>
    <col min="7" max="7" width="2.21484375" style="29" customWidth="1"/>
    <col min="8" max="8" width="17.5546875" style="29" customWidth="1"/>
    <col min="9" max="9" width="5.5546875" style="205" customWidth="1"/>
    <col min="10" max="10" width="9.88671875" style="29" customWidth="1"/>
    <col min="11" max="11" width="3.77734375" style="206" customWidth="1"/>
    <col min="12" max="12" width="3.3359375" style="208" customWidth="1"/>
    <col min="13" max="13" width="3.77734375" style="206" customWidth="1"/>
    <col min="14" max="14" width="3.3359375" style="208" customWidth="1"/>
    <col min="15" max="15" width="2.6640625" style="206" customWidth="1"/>
    <col min="16" max="16" width="2.21484375" style="156" customWidth="1"/>
    <col min="17" max="17" width="10.99609375" style="29" customWidth="1"/>
    <col min="18" max="18" width="2.99609375" style="29" hidden="1" customWidth="1"/>
    <col min="19" max="19" width="13.4453125" style="446" hidden="1" customWidth="1"/>
    <col min="20" max="20" width="14.10546875" style="351" hidden="1" customWidth="1"/>
    <col min="21" max="21" width="12.21484375" style="351" hidden="1" customWidth="1"/>
    <col min="22" max="22" width="11.3359375" style="351" hidden="1" customWidth="1"/>
    <col min="23" max="23" width="10.3359375" style="352" hidden="1" customWidth="1"/>
    <col min="24" max="24" width="12.21484375" style="352" hidden="1" customWidth="1"/>
    <col min="25" max="25" width="21.77734375" style="17" hidden="1" customWidth="1"/>
    <col min="26" max="26" width="0" style="17" hidden="1" customWidth="1"/>
    <col min="27" max="27" width="8.88671875" style="17" customWidth="1"/>
    <col min="28" max="16384" width="8.88671875" style="19" customWidth="1"/>
  </cols>
  <sheetData>
    <row r="1" spans="2:24" ht="22.5" customHeight="1" thickBot="1">
      <c r="B1" s="14"/>
      <c r="C1" s="539" t="s">
        <v>19</v>
      </c>
      <c r="G1" s="16"/>
      <c r="H1" s="14"/>
      <c r="I1" s="195"/>
      <c r="J1" s="12"/>
      <c r="K1" s="13"/>
      <c r="L1" s="14"/>
      <c r="M1" s="15"/>
      <c r="N1" s="196"/>
      <c r="O1" s="15"/>
      <c r="P1" s="16"/>
      <c r="Q1" s="16"/>
      <c r="R1" s="197"/>
      <c r="S1" s="198"/>
      <c r="T1" s="439" t="s">
        <v>221</v>
      </c>
      <c r="U1" s="504" t="s">
        <v>219</v>
      </c>
      <c r="V1" s="504"/>
      <c r="W1" s="504" t="s">
        <v>220</v>
      </c>
      <c r="X1" s="504"/>
    </row>
    <row r="2" spans="1:25" ht="22.5" customHeight="1" thickBot="1">
      <c r="A2" s="14"/>
      <c r="B2" s="14"/>
      <c r="C2" s="539"/>
      <c r="D2" s="14"/>
      <c r="E2" s="14"/>
      <c r="F2" s="14"/>
      <c r="G2" s="16"/>
      <c r="H2" s="14"/>
      <c r="I2" s="195"/>
      <c r="J2" s="12"/>
      <c r="K2" s="13"/>
      <c r="L2" s="14"/>
      <c r="M2" s="15"/>
      <c r="N2" s="196"/>
      <c r="O2" s="15"/>
      <c r="P2" s="16"/>
      <c r="Q2" s="16"/>
      <c r="R2" s="197"/>
      <c r="S2" s="198"/>
      <c r="T2" s="428">
        <f>세입!T5-세출!T5</f>
        <v>0</v>
      </c>
      <c r="U2" s="429">
        <f>세입!U5-세출!U5</f>
        <v>0</v>
      </c>
      <c r="V2" s="429">
        <f>세입!V5-세출!V5</f>
        <v>0</v>
      </c>
      <c r="W2" s="429">
        <f>세입!W5-세출!W5</f>
        <v>0</v>
      </c>
      <c r="X2" s="430">
        <f>세입!X5-세출!X5</f>
        <v>0</v>
      </c>
      <c r="Y2" s="22" t="s">
        <v>240</v>
      </c>
    </row>
    <row r="3" spans="1:25" ht="22.5" customHeight="1" thickBot="1">
      <c r="A3" s="23"/>
      <c r="B3" s="23"/>
      <c r="C3" s="540"/>
      <c r="D3" s="199"/>
      <c r="E3" s="199"/>
      <c r="F3" s="200"/>
      <c r="G3" s="293"/>
      <c r="H3" s="200"/>
      <c r="I3" s="201"/>
      <c r="K3" s="520" t="s">
        <v>20</v>
      </c>
      <c r="L3" s="520"/>
      <c r="M3" s="520"/>
      <c r="N3" s="520"/>
      <c r="O3" s="520"/>
      <c r="P3" s="520"/>
      <c r="Q3" s="520"/>
      <c r="T3" s="431">
        <f>SUM(T$6:T$50)-SUMIF($I9:$I50,"보",$Q9:$Q50)</f>
        <v>0</v>
      </c>
      <c r="U3" s="432">
        <f>SUM(U$6:U$50)-SUMIF($I9:$I50,"수",$Q9:$Q50)</f>
        <v>0</v>
      </c>
      <c r="V3" s="432">
        <f>SUM(V$6:V$50)-SUMIF($I9:$I50,"잡",$Q9:$Q50)</f>
        <v>0</v>
      </c>
      <c r="W3" s="432">
        <f>SUM(W$6:W$50)-SUMIF($I9:$I50,"후(지)",$Q9:$Q50)</f>
        <v>0</v>
      </c>
      <c r="X3" s="433">
        <f>SUM(X$6:X$50)-SUMIF($I9:$I50,"후(비)",$Q9:$Q50)</f>
        <v>0</v>
      </c>
      <c r="Y3" s="17" t="s">
        <v>242</v>
      </c>
    </row>
    <row r="4" spans="1:24" ht="18" customHeight="1" thickBot="1">
      <c r="A4" s="505" t="s">
        <v>21</v>
      </c>
      <c r="B4" s="506"/>
      <c r="C4" s="506"/>
      <c r="D4" s="30">
        <f>총괄표!B4</f>
        <v>2015</v>
      </c>
      <c r="E4" s="30">
        <f>총괄표!C4</f>
        <v>2016</v>
      </c>
      <c r="F4" s="202" t="s">
        <v>22</v>
      </c>
      <c r="H4" s="32"/>
      <c r="I4" s="32"/>
      <c r="J4" s="32"/>
      <c r="K4" s="507" t="s">
        <v>23</v>
      </c>
      <c r="L4" s="508"/>
      <c r="M4" s="508"/>
      <c r="N4" s="508"/>
      <c r="O4" s="508"/>
      <c r="P4" s="508"/>
      <c r="Q4" s="509"/>
      <c r="R4" s="535"/>
      <c r="S4" s="536"/>
      <c r="T4" s="426" t="s">
        <v>182</v>
      </c>
      <c r="U4" s="349" t="s">
        <v>218</v>
      </c>
      <c r="V4" s="349" t="s">
        <v>210</v>
      </c>
      <c r="W4" s="349" t="s">
        <v>211</v>
      </c>
      <c r="X4" s="427" t="s">
        <v>212</v>
      </c>
    </row>
    <row r="5" spans="1:25" ht="18" customHeight="1" thickBot="1">
      <c r="A5" s="34" t="s">
        <v>24</v>
      </c>
      <c r="B5" s="35" t="s">
        <v>25</v>
      </c>
      <c r="C5" s="36" t="s">
        <v>26</v>
      </c>
      <c r="D5" s="203" t="s">
        <v>27</v>
      </c>
      <c r="E5" s="203" t="s">
        <v>9</v>
      </c>
      <c r="F5" s="203" t="s">
        <v>28</v>
      </c>
      <c r="G5" s="331"/>
      <c r="H5" s="39"/>
      <c r="I5" s="39"/>
      <c r="J5" s="39"/>
      <c r="K5" s="510"/>
      <c r="L5" s="510"/>
      <c r="M5" s="510"/>
      <c r="N5" s="510"/>
      <c r="O5" s="510"/>
      <c r="P5" s="510"/>
      <c r="Q5" s="511"/>
      <c r="R5" s="521">
        <f>SUM(S7:S49)</f>
        <v>1643034000</v>
      </c>
      <c r="S5" s="522"/>
      <c r="T5" s="462">
        <f>SUMIF($I9:$I50,"보",$Q9:$Q50)</f>
        <v>1413356000</v>
      </c>
      <c r="U5" s="463">
        <f>SUMIF($I9:$I50,"수",$Q9:$Q50)</f>
        <v>33408000</v>
      </c>
      <c r="V5" s="463">
        <f>SUMIF($I9:$I50,"잡",$Q9:$Q50)</f>
        <v>36640000</v>
      </c>
      <c r="W5" s="463">
        <f>SUMIF($I9:$I50,"후(지)",$Q9:$Q50)</f>
        <v>100000000</v>
      </c>
      <c r="X5" s="464">
        <f>SUMIF($I9:$I50,"후(비)",$Q9:$Q50)</f>
        <v>59630000</v>
      </c>
      <c r="Y5" s="17" t="s">
        <v>241</v>
      </c>
    </row>
    <row r="6" spans="1:25" ht="18" customHeight="1">
      <c r="A6" s="512" t="s">
        <v>29</v>
      </c>
      <c r="B6" s="513"/>
      <c r="C6" s="514"/>
      <c r="D6" s="204">
        <f>D7+D10+D26+D30+D33+D37</f>
        <v>1415374</v>
      </c>
      <c r="E6" s="59">
        <f>SUM(T7:X50)*0.001</f>
        <v>1643034</v>
      </c>
      <c r="F6" s="42">
        <f>E6-D6</f>
        <v>227660</v>
      </c>
      <c r="H6" s="161"/>
      <c r="I6" s="130"/>
      <c r="L6" s="207"/>
      <c r="Q6" s="209"/>
      <c r="R6" s="518">
        <f>SUM(Q9:Q49)-SUM(T9:X49)</f>
        <v>0</v>
      </c>
      <c r="S6" s="519"/>
      <c r="T6" s="434">
        <f>SUM(T$7:T$50)-T5</f>
        <v>0</v>
      </c>
      <c r="U6" s="435">
        <f>SUM(U$7:U$50)-U5</f>
        <v>0</v>
      </c>
      <c r="V6" s="435">
        <f>SUM(V$7:V$50)-V5</f>
        <v>0</v>
      </c>
      <c r="W6" s="435">
        <f>SUM(W$7:W$50)-W5</f>
        <v>0</v>
      </c>
      <c r="X6" s="435">
        <f>SUM(X$7:X$50)-X5</f>
        <v>0</v>
      </c>
      <c r="Y6" s="17" t="s">
        <v>242</v>
      </c>
    </row>
    <row r="7" spans="1:25" ht="18" customHeight="1">
      <c r="A7" s="515" t="s">
        <v>132</v>
      </c>
      <c r="B7" s="516"/>
      <c r="C7" s="517"/>
      <c r="D7" s="210">
        <f>D8</f>
        <v>32160</v>
      </c>
      <c r="E7" s="50">
        <f>SUM(T7:X9)*0.001</f>
        <v>33408</v>
      </c>
      <c r="F7" s="211">
        <f aca="true" t="shared" si="0" ref="F7:F12">E7-D7</f>
        <v>1248</v>
      </c>
      <c r="G7" s="332"/>
      <c r="H7" s="212"/>
      <c r="I7" s="309"/>
      <c r="J7" s="309"/>
      <c r="K7" s="214"/>
      <c r="L7" s="213"/>
      <c r="M7" s="214"/>
      <c r="N7" s="212"/>
      <c r="O7" s="214"/>
      <c r="P7" s="215"/>
      <c r="Q7" s="216"/>
      <c r="R7" s="217"/>
      <c r="S7" s="447"/>
      <c r="T7" s="404" t="str">
        <f>A7</f>
        <v>01.입소자부담금수입</v>
      </c>
      <c r="U7" s="367"/>
      <c r="V7" s="367"/>
      <c r="W7" s="367"/>
      <c r="X7" s="367"/>
      <c r="Y7" s="368"/>
    </row>
    <row r="8" spans="1:26" ht="18" customHeight="1">
      <c r="A8" s="58"/>
      <c r="B8" s="526" t="s">
        <v>133</v>
      </c>
      <c r="C8" s="525"/>
      <c r="D8" s="220">
        <f>SUM(D9:D9)</f>
        <v>32160</v>
      </c>
      <c r="E8" s="49">
        <f>SUM(T8:X9)*0.001</f>
        <v>33408</v>
      </c>
      <c r="F8" s="211">
        <f t="shared" si="0"/>
        <v>1248</v>
      </c>
      <c r="G8" s="332"/>
      <c r="H8" s="212"/>
      <c r="I8" s="310"/>
      <c r="J8" s="310"/>
      <c r="K8" s="214"/>
      <c r="L8" s="213"/>
      <c r="M8" s="214"/>
      <c r="N8" s="212"/>
      <c r="O8" s="214"/>
      <c r="P8" s="215"/>
      <c r="Q8" s="216"/>
      <c r="R8" s="217"/>
      <c r="S8" s="447"/>
      <c r="T8" s="405" t="str">
        <f>B8</f>
        <v>11.입소비용수입</v>
      </c>
      <c r="U8" s="406"/>
      <c r="V8" s="371"/>
      <c r="W8" s="372"/>
      <c r="X8" s="371"/>
      <c r="Y8" s="373"/>
      <c r="Z8" s="218"/>
    </row>
    <row r="9" spans="1:26" ht="18" customHeight="1">
      <c r="A9" s="62"/>
      <c r="B9" s="63"/>
      <c r="C9" s="219" t="s">
        <v>134</v>
      </c>
      <c r="D9" s="220">
        <v>32160</v>
      </c>
      <c r="E9" s="50">
        <f>SUM(T9:X9)*0.001</f>
        <v>33408</v>
      </c>
      <c r="F9" s="211">
        <f>E9-D9</f>
        <v>1248</v>
      </c>
      <c r="G9" s="333" t="s">
        <v>267</v>
      </c>
      <c r="H9" s="338" t="s">
        <v>264</v>
      </c>
      <c r="I9" s="308" t="s">
        <v>213</v>
      </c>
      <c r="J9" s="75">
        <v>348000</v>
      </c>
      <c r="K9" s="76" t="s">
        <v>160</v>
      </c>
      <c r="L9" s="224">
        <v>8</v>
      </c>
      <c r="M9" s="76" t="s">
        <v>162</v>
      </c>
      <c r="N9" s="75">
        <v>12</v>
      </c>
      <c r="O9" s="76" t="s">
        <v>167</v>
      </c>
      <c r="P9" s="225" t="s">
        <v>0</v>
      </c>
      <c r="Q9" s="226">
        <f>ROUNDDOWN(J9*L9*N9,-3)</f>
        <v>33408000</v>
      </c>
      <c r="R9" s="77"/>
      <c r="S9" s="445">
        <f>SUM(T9:X9)</f>
        <v>33408000</v>
      </c>
      <c r="T9" s="379">
        <f>SUMIF($I9,"보",$Q9)</f>
        <v>0</v>
      </c>
      <c r="U9" s="385">
        <f>SUMIF($I9,"수",$Q9)</f>
        <v>33408000</v>
      </c>
      <c r="V9" s="380">
        <f>SUMIF($I9,"잡",$Q9)</f>
        <v>0</v>
      </c>
      <c r="W9" s="385">
        <f>SUMIF($I9,"후(지)",$Q9)</f>
        <v>0</v>
      </c>
      <c r="X9" s="380">
        <f>SUMIF($I9,"후(비)",$Q9)</f>
        <v>0</v>
      </c>
      <c r="Y9" s="377">
        <f>SUM(T9:X9)-Q9</f>
        <v>0</v>
      </c>
      <c r="Z9" s="140"/>
    </row>
    <row r="10" spans="1:25" ht="18" customHeight="1">
      <c r="A10" s="531" t="s">
        <v>30</v>
      </c>
      <c r="B10" s="524"/>
      <c r="C10" s="525"/>
      <c r="D10" s="49">
        <f>D11</f>
        <v>1297138</v>
      </c>
      <c r="E10" s="50">
        <f>SUM(T10:X25)*0.001</f>
        <v>1413326</v>
      </c>
      <c r="F10" s="211">
        <f t="shared" si="0"/>
        <v>116188</v>
      </c>
      <c r="G10" s="334"/>
      <c r="H10" s="213"/>
      <c r="I10" s="128"/>
      <c r="J10" s="99"/>
      <c r="K10" s="227"/>
      <c r="L10" s="228"/>
      <c r="M10" s="227"/>
      <c r="N10" s="228"/>
      <c r="O10" s="227"/>
      <c r="P10" s="229"/>
      <c r="Q10" s="230"/>
      <c r="R10" s="77"/>
      <c r="S10" s="80"/>
      <c r="T10" s="405" t="str">
        <f>A10</f>
        <v>04.보조금수입</v>
      </c>
      <c r="U10" s="371"/>
      <c r="V10" s="371"/>
      <c r="W10" s="371"/>
      <c r="X10" s="371"/>
      <c r="Y10" s="377">
        <f aca="true" t="shared" si="1" ref="Y10:Y49">SUM(T10:X10)-Q10</f>
        <v>0</v>
      </c>
    </row>
    <row r="11" spans="1:25" ht="18" customHeight="1">
      <c r="A11" s="58"/>
      <c r="B11" s="524" t="s">
        <v>31</v>
      </c>
      <c r="C11" s="525"/>
      <c r="D11" s="49">
        <f>SUM(D12:D25)</f>
        <v>1297138</v>
      </c>
      <c r="E11" s="50">
        <f>SUM(T11:X25)*0.001</f>
        <v>1413326</v>
      </c>
      <c r="F11" s="211">
        <f t="shared" si="0"/>
        <v>116188</v>
      </c>
      <c r="G11" s="340"/>
      <c r="H11" s="343"/>
      <c r="I11" s="130"/>
      <c r="J11" s="131"/>
      <c r="K11" s="231"/>
      <c r="L11" s="232"/>
      <c r="M11" s="231"/>
      <c r="N11" s="232"/>
      <c r="O11" s="231"/>
      <c r="P11" s="233"/>
      <c r="Q11" s="234"/>
      <c r="R11" s="235"/>
      <c r="S11" s="448"/>
      <c r="T11" s="405" t="str">
        <f>B11</f>
        <v>41.보조금수입</v>
      </c>
      <c r="U11" s="407"/>
      <c r="V11" s="371"/>
      <c r="W11" s="372"/>
      <c r="X11" s="371"/>
      <c r="Y11" s="377">
        <f t="shared" si="1"/>
        <v>0</v>
      </c>
    </row>
    <row r="12" spans="1:25" ht="18" customHeight="1">
      <c r="A12" s="62"/>
      <c r="B12" s="102"/>
      <c r="C12" s="236" t="s">
        <v>140</v>
      </c>
      <c r="D12" s="65">
        <v>1297138</v>
      </c>
      <c r="E12" s="50">
        <f>SUM(T12:X25)*0.001</f>
        <v>1413326</v>
      </c>
      <c r="F12" s="211">
        <f t="shared" si="0"/>
        <v>116188</v>
      </c>
      <c r="G12" s="335" t="s">
        <v>267</v>
      </c>
      <c r="H12" s="306" t="s">
        <v>176</v>
      </c>
      <c r="I12" s="315" t="s">
        <v>204</v>
      </c>
      <c r="J12" s="316">
        <v>1202552000</v>
      </c>
      <c r="K12" s="106" t="s">
        <v>160</v>
      </c>
      <c r="L12" s="317">
        <v>1</v>
      </c>
      <c r="M12" s="106" t="s">
        <v>172</v>
      </c>
      <c r="N12" s="107"/>
      <c r="O12" s="106"/>
      <c r="P12" s="108" t="s">
        <v>0</v>
      </c>
      <c r="Q12" s="248">
        <f>ROUNDDOWN(J12*L12,-3)</f>
        <v>1202552000</v>
      </c>
      <c r="R12" s="77"/>
      <c r="S12" s="445">
        <f>SUM(T12:X12)</f>
        <v>1202552000</v>
      </c>
      <c r="T12" s="379">
        <f aca="true" t="shared" si="2" ref="T12:T25">SUMIF($I12,"보",$Q12)</f>
        <v>1202552000</v>
      </c>
      <c r="U12" s="385">
        <f>SUMIF($I12,"수",$Q12)</f>
        <v>0</v>
      </c>
      <c r="V12" s="380">
        <f aca="true" t="shared" si="3" ref="V12:V25">SUMIF($I12,"잡",$Q12)</f>
        <v>0</v>
      </c>
      <c r="W12" s="385">
        <f aca="true" t="shared" si="4" ref="W12:W25">SUMIF($I12,"후(지)",$Q12)</f>
        <v>0</v>
      </c>
      <c r="X12" s="380">
        <f aca="true" t="shared" si="5" ref="X12:X25">SUMIF($I12,"후(비)",$Q12)</f>
        <v>0</v>
      </c>
      <c r="Y12" s="377">
        <f t="shared" si="1"/>
        <v>0</v>
      </c>
    </row>
    <row r="13" spans="1:25" ht="18" customHeight="1">
      <c r="A13" s="62"/>
      <c r="B13" s="102"/>
      <c r="C13" s="237"/>
      <c r="D13" s="69"/>
      <c r="E13" s="70"/>
      <c r="F13" s="223"/>
      <c r="G13" s="73" t="s">
        <v>267</v>
      </c>
      <c r="H13" s="91" t="s">
        <v>175</v>
      </c>
      <c r="I13" s="308" t="s">
        <v>117</v>
      </c>
      <c r="J13" s="75">
        <v>70253000</v>
      </c>
      <c r="K13" s="76" t="s">
        <v>160</v>
      </c>
      <c r="L13" s="134">
        <v>1</v>
      </c>
      <c r="M13" s="76" t="s">
        <v>172</v>
      </c>
      <c r="N13" s="77"/>
      <c r="O13" s="76"/>
      <c r="P13" s="78" t="s">
        <v>0</v>
      </c>
      <c r="Q13" s="226">
        <f>ROUNDDOWN(J13*L13,-3)</f>
        <v>70253000</v>
      </c>
      <c r="R13" s="77"/>
      <c r="S13" s="445">
        <f aca="true" t="shared" si="6" ref="S13:S25">SUM(T13:X13)</f>
        <v>70253000</v>
      </c>
      <c r="T13" s="379">
        <f t="shared" si="2"/>
        <v>70253000</v>
      </c>
      <c r="U13" s="385">
        <f>SUMIF($I13,"자수",$Q13)</f>
        <v>0</v>
      </c>
      <c r="V13" s="380">
        <f t="shared" si="3"/>
        <v>0</v>
      </c>
      <c r="W13" s="385">
        <f t="shared" si="4"/>
        <v>0</v>
      </c>
      <c r="X13" s="380">
        <f t="shared" si="5"/>
        <v>0</v>
      </c>
      <c r="Y13" s="377">
        <f>SUM(T12:X12)-Q12</f>
        <v>0</v>
      </c>
    </row>
    <row r="14" spans="1:25" ht="18" customHeight="1">
      <c r="A14" s="62"/>
      <c r="B14" s="102"/>
      <c r="C14" s="238"/>
      <c r="D14" s="239"/>
      <c r="E14" s="239"/>
      <c r="F14" s="223"/>
      <c r="G14" s="73" t="s">
        <v>267</v>
      </c>
      <c r="H14" s="91" t="s">
        <v>109</v>
      </c>
      <c r="I14" s="308" t="s">
        <v>174</v>
      </c>
      <c r="J14" s="75">
        <v>40000</v>
      </c>
      <c r="K14" s="76" t="s">
        <v>160</v>
      </c>
      <c r="L14" s="134">
        <v>23</v>
      </c>
      <c r="M14" s="76" t="s">
        <v>162</v>
      </c>
      <c r="N14" s="77">
        <v>12</v>
      </c>
      <c r="O14" s="76" t="s">
        <v>167</v>
      </c>
      <c r="P14" s="78" t="s">
        <v>0</v>
      </c>
      <c r="Q14" s="226">
        <f aca="true" t="shared" si="7" ref="Q14:Q22">ROUNDDOWN(J14*L14*N14,-3)</f>
        <v>11040000</v>
      </c>
      <c r="R14" s="77"/>
      <c r="S14" s="445">
        <f t="shared" si="6"/>
        <v>11040000</v>
      </c>
      <c r="T14" s="379">
        <f t="shared" si="2"/>
        <v>11040000</v>
      </c>
      <c r="U14" s="385">
        <f aca="true" t="shared" si="8" ref="U14:U25">SUMIF($I14,"수",$Q14)</f>
        <v>0</v>
      </c>
      <c r="V14" s="380">
        <f t="shared" si="3"/>
        <v>0</v>
      </c>
      <c r="W14" s="385">
        <f t="shared" si="4"/>
        <v>0</v>
      </c>
      <c r="X14" s="380">
        <f t="shared" si="5"/>
        <v>0</v>
      </c>
      <c r="Y14" s="377">
        <f t="shared" si="1"/>
        <v>0</v>
      </c>
    </row>
    <row r="15" spans="1:25" ht="15" customHeight="1">
      <c r="A15" s="62"/>
      <c r="B15" s="102"/>
      <c r="C15" s="238"/>
      <c r="D15" s="239"/>
      <c r="E15" s="239"/>
      <c r="F15" s="223"/>
      <c r="G15" s="73" t="s">
        <v>267</v>
      </c>
      <c r="H15" s="91" t="s">
        <v>110</v>
      </c>
      <c r="I15" s="308" t="s">
        <v>117</v>
      </c>
      <c r="J15" s="75">
        <v>100000</v>
      </c>
      <c r="K15" s="76" t="s">
        <v>160</v>
      </c>
      <c r="L15" s="134">
        <v>26</v>
      </c>
      <c r="M15" s="76" t="s">
        <v>162</v>
      </c>
      <c r="N15" s="77">
        <v>12</v>
      </c>
      <c r="O15" s="76" t="s">
        <v>167</v>
      </c>
      <c r="P15" s="222" t="s">
        <v>0</v>
      </c>
      <c r="Q15" s="226">
        <f t="shared" si="7"/>
        <v>31200000</v>
      </c>
      <c r="R15" s="77"/>
      <c r="S15" s="445">
        <f t="shared" si="6"/>
        <v>31200000</v>
      </c>
      <c r="T15" s="379">
        <f t="shared" si="2"/>
        <v>31200000</v>
      </c>
      <c r="U15" s="385">
        <f t="shared" si="8"/>
        <v>0</v>
      </c>
      <c r="V15" s="380">
        <f t="shared" si="3"/>
        <v>0</v>
      </c>
      <c r="W15" s="385">
        <f t="shared" si="4"/>
        <v>0</v>
      </c>
      <c r="X15" s="380">
        <f t="shared" si="5"/>
        <v>0</v>
      </c>
      <c r="Y15" s="377">
        <f t="shared" si="1"/>
        <v>0</v>
      </c>
    </row>
    <row r="16" spans="1:25" ht="15" customHeight="1">
      <c r="A16" s="62"/>
      <c r="B16" s="102"/>
      <c r="C16" s="238"/>
      <c r="D16" s="239"/>
      <c r="E16" s="239"/>
      <c r="F16" s="223"/>
      <c r="G16" s="73" t="s">
        <v>267</v>
      </c>
      <c r="H16" s="91" t="s">
        <v>215</v>
      </c>
      <c r="I16" s="308" t="s">
        <v>117</v>
      </c>
      <c r="J16" s="75">
        <v>250000</v>
      </c>
      <c r="K16" s="76" t="s">
        <v>160</v>
      </c>
      <c r="L16" s="134">
        <v>29</v>
      </c>
      <c r="M16" s="76" t="s">
        <v>162</v>
      </c>
      <c r="N16" s="77">
        <v>12</v>
      </c>
      <c r="O16" s="76" t="s">
        <v>167</v>
      </c>
      <c r="P16" s="225" t="s">
        <v>0</v>
      </c>
      <c r="Q16" s="226">
        <f t="shared" si="7"/>
        <v>87000000</v>
      </c>
      <c r="R16" s="77"/>
      <c r="S16" s="445">
        <f t="shared" si="6"/>
        <v>87000000</v>
      </c>
      <c r="T16" s="379">
        <f t="shared" si="2"/>
        <v>87000000</v>
      </c>
      <c r="U16" s="385">
        <f t="shared" si="8"/>
        <v>0</v>
      </c>
      <c r="V16" s="380">
        <f t="shared" si="3"/>
        <v>0</v>
      </c>
      <c r="W16" s="385">
        <f t="shared" si="4"/>
        <v>0</v>
      </c>
      <c r="X16" s="380">
        <f t="shared" si="5"/>
        <v>0</v>
      </c>
      <c r="Y16" s="377">
        <f t="shared" si="1"/>
        <v>0</v>
      </c>
    </row>
    <row r="17" spans="1:25" ht="15" customHeight="1">
      <c r="A17" s="62"/>
      <c r="B17" s="102"/>
      <c r="C17" s="237"/>
      <c r="D17" s="239"/>
      <c r="E17" s="239"/>
      <c r="F17" s="223"/>
      <c r="G17" s="73" t="s">
        <v>267</v>
      </c>
      <c r="H17" s="91" t="s">
        <v>32</v>
      </c>
      <c r="I17" s="308" t="s">
        <v>117</v>
      </c>
      <c r="J17" s="75">
        <v>29000</v>
      </c>
      <c r="K17" s="76" t="s">
        <v>160</v>
      </c>
      <c r="L17" s="134">
        <v>29</v>
      </c>
      <c r="M17" s="76" t="s">
        <v>162</v>
      </c>
      <c r="N17" s="77">
        <v>1</v>
      </c>
      <c r="O17" s="76" t="s">
        <v>169</v>
      </c>
      <c r="P17" s="225" t="s">
        <v>0</v>
      </c>
      <c r="Q17" s="226">
        <f t="shared" si="7"/>
        <v>841000</v>
      </c>
      <c r="R17" s="77"/>
      <c r="S17" s="445">
        <f t="shared" si="6"/>
        <v>841000</v>
      </c>
      <c r="T17" s="379">
        <f t="shared" si="2"/>
        <v>841000</v>
      </c>
      <c r="U17" s="385">
        <f t="shared" si="8"/>
        <v>0</v>
      </c>
      <c r="V17" s="380">
        <f t="shared" si="3"/>
        <v>0</v>
      </c>
      <c r="W17" s="385">
        <f t="shared" si="4"/>
        <v>0</v>
      </c>
      <c r="X17" s="380">
        <f t="shared" si="5"/>
        <v>0</v>
      </c>
      <c r="Y17" s="377">
        <f t="shared" si="1"/>
        <v>0</v>
      </c>
    </row>
    <row r="18" spans="1:25" ht="15" customHeight="1">
      <c r="A18" s="62"/>
      <c r="B18" s="102"/>
      <c r="C18" s="237"/>
      <c r="D18" s="239"/>
      <c r="E18" s="239"/>
      <c r="F18" s="223"/>
      <c r="G18" s="73" t="s">
        <v>267</v>
      </c>
      <c r="H18" s="91" t="s">
        <v>216</v>
      </c>
      <c r="I18" s="308" t="s">
        <v>117</v>
      </c>
      <c r="J18" s="75">
        <v>35000</v>
      </c>
      <c r="K18" s="76" t="s">
        <v>160</v>
      </c>
      <c r="L18" s="134">
        <v>29</v>
      </c>
      <c r="M18" s="76" t="s">
        <v>162</v>
      </c>
      <c r="N18" s="77">
        <v>2</v>
      </c>
      <c r="O18" s="76" t="s">
        <v>169</v>
      </c>
      <c r="P18" s="225" t="s">
        <v>0</v>
      </c>
      <c r="Q18" s="226">
        <f t="shared" si="7"/>
        <v>2030000</v>
      </c>
      <c r="R18" s="77"/>
      <c r="S18" s="445">
        <f t="shared" si="6"/>
        <v>2030000</v>
      </c>
      <c r="T18" s="379">
        <f t="shared" si="2"/>
        <v>2030000</v>
      </c>
      <c r="U18" s="385">
        <f t="shared" si="8"/>
        <v>0</v>
      </c>
      <c r="V18" s="380">
        <f t="shared" si="3"/>
        <v>0</v>
      </c>
      <c r="W18" s="385">
        <f t="shared" si="4"/>
        <v>0</v>
      </c>
      <c r="X18" s="380">
        <f t="shared" si="5"/>
        <v>0</v>
      </c>
      <c r="Y18" s="377">
        <f t="shared" si="1"/>
        <v>0</v>
      </c>
    </row>
    <row r="19" spans="1:25" ht="15" customHeight="1">
      <c r="A19" s="62"/>
      <c r="B19" s="102"/>
      <c r="C19" s="237"/>
      <c r="D19" s="239"/>
      <c r="E19" s="239"/>
      <c r="F19" s="223"/>
      <c r="G19" s="73" t="s">
        <v>267</v>
      </c>
      <c r="H19" s="74" t="s">
        <v>33</v>
      </c>
      <c r="I19" s="308" t="s">
        <v>117</v>
      </c>
      <c r="J19" s="75">
        <v>15000</v>
      </c>
      <c r="K19" s="76" t="s">
        <v>160</v>
      </c>
      <c r="L19" s="134">
        <v>37</v>
      </c>
      <c r="M19" s="76" t="s">
        <v>162</v>
      </c>
      <c r="N19" s="77">
        <v>1</v>
      </c>
      <c r="O19" s="76" t="s">
        <v>169</v>
      </c>
      <c r="P19" s="225" t="s">
        <v>0</v>
      </c>
      <c r="Q19" s="226">
        <f t="shared" si="7"/>
        <v>555000</v>
      </c>
      <c r="R19" s="77"/>
      <c r="S19" s="445">
        <f t="shared" si="6"/>
        <v>555000</v>
      </c>
      <c r="T19" s="379">
        <f t="shared" si="2"/>
        <v>555000</v>
      </c>
      <c r="U19" s="385">
        <f t="shared" si="8"/>
        <v>0</v>
      </c>
      <c r="V19" s="380">
        <f t="shared" si="3"/>
        <v>0</v>
      </c>
      <c r="W19" s="385">
        <f t="shared" si="4"/>
        <v>0</v>
      </c>
      <c r="X19" s="380">
        <f t="shared" si="5"/>
        <v>0</v>
      </c>
      <c r="Y19" s="377">
        <f t="shared" si="1"/>
        <v>0</v>
      </c>
    </row>
    <row r="20" spans="1:25" ht="15" customHeight="1">
      <c r="A20" s="62"/>
      <c r="B20" s="67"/>
      <c r="C20" s="237"/>
      <c r="D20" s="239"/>
      <c r="E20" s="239"/>
      <c r="F20" s="223"/>
      <c r="G20" s="73" t="s">
        <v>267</v>
      </c>
      <c r="H20" s="74" t="s">
        <v>36</v>
      </c>
      <c r="I20" s="308" t="s">
        <v>117</v>
      </c>
      <c r="J20" s="75">
        <v>50000</v>
      </c>
      <c r="K20" s="76" t="s">
        <v>160</v>
      </c>
      <c r="L20" s="134">
        <v>37</v>
      </c>
      <c r="M20" s="76" t="s">
        <v>162</v>
      </c>
      <c r="N20" s="77">
        <v>1</v>
      </c>
      <c r="O20" s="76" t="s">
        <v>169</v>
      </c>
      <c r="P20" s="225" t="s">
        <v>0</v>
      </c>
      <c r="Q20" s="226">
        <f t="shared" si="7"/>
        <v>1850000</v>
      </c>
      <c r="R20" s="77"/>
      <c r="S20" s="445">
        <f t="shared" si="6"/>
        <v>1850000</v>
      </c>
      <c r="T20" s="379">
        <f t="shared" si="2"/>
        <v>1850000</v>
      </c>
      <c r="U20" s="385">
        <f t="shared" si="8"/>
        <v>0</v>
      </c>
      <c r="V20" s="380">
        <f t="shared" si="3"/>
        <v>0</v>
      </c>
      <c r="W20" s="385">
        <f t="shared" si="4"/>
        <v>0</v>
      </c>
      <c r="X20" s="380">
        <f t="shared" si="5"/>
        <v>0</v>
      </c>
      <c r="Y20" s="377">
        <f t="shared" si="1"/>
        <v>0</v>
      </c>
    </row>
    <row r="21" spans="1:25" ht="15" customHeight="1">
      <c r="A21" s="62"/>
      <c r="B21" s="67"/>
      <c r="C21" s="237"/>
      <c r="D21" s="239"/>
      <c r="E21" s="239"/>
      <c r="F21" s="223"/>
      <c r="G21" s="73" t="s">
        <v>267</v>
      </c>
      <c r="H21" s="74" t="s">
        <v>35</v>
      </c>
      <c r="I21" s="308" t="s">
        <v>117</v>
      </c>
      <c r="J21" s="75">
        <v>15000</v>
      </c>
      <c r="K21" s="76" t="s">
        <v>160</v>
      </c>
      <c r="L21" s="134">
        <v>37</v>
      </c>
      <c r="M21" s="76" t="s">
        <v>162</v>
      </c>
      <c r="N21" s="77">
        <v>1</v>
      </c>
      <c r="O21" s="76" t="s">
        <v>169</v>
      </c>
      <c r="P21" s="225" t="s">
        <v>0</v>
      </c>
      <c r="Q21" s="226">
        <f t="shared" si="7"/>
        <v>555000</v>
      </c>
      <c r="R21" s="77"/>
      <c r="S21" s="445">
        <f t="shared" si="6"/>
        <v>555000</v>
      </c>
      <c r="T21" s="379">
        <f t="shared" si="2"/>
        <v>555000</v>
      </c>
      <c r="U21" s="385">
        <f t="shared" si="8"/>
        <v>0</v>
      </c>
      <c r="V21" s="380">
        <f t="shared" si="3"/>
        <v>0</v>
      </c>
      <c r="W21" s="385">
        <f t="shared" si="4"/>
        <v>0</v>
      </c>
      <c r="X21" s="380">
        <f t="shared" si="5"/>
        <v>0</v>
      </c>
      <c r="Y21" s="377">
        <f t="shared" si="1"/>
        <v>0</v>
      </c>
    </row>
    <row r="22" spans="1:25" ht="15" customHeight="1">
      <c r="A22" s="62"/>
      <c r="B22" s="67"/>
      <c r="C22" s="237"/>
      <c r="D22" s="239"/>
      <c r="E22" s="239"/>
      <c r="F22" s="223"/>
      <c r="G22" s="73" t="s">
        <v>267</v>
      </c>
      <c r="H22" s="74" t="s">
        <v>34</v>
      </c>
      <c r="I22" s="308" t="s">
        <v>117</v>
      </c>
      <c r="J22" s="75">
        <v>50000</v>
      </c>
      <c r="K22" s="76" t="s">
        <v>160</v>
      </c>
      <c r="L22" s="134">
        <v>37</v>
      </c>
      <c r="M22" s="76" t="s">
        <v>162</v>
      </c>
      <c r="N22" s="77">
        <v>1</v>
      </c>
      <c r="O22" s="76" t="s">
        <v>169</v>
      </c>
      <c r="P22" s="225" t="s">
        <v>0</v>
      </c>
      <c r="Q22" s="226">
        <f t="shared" si="7"/>
        <v>1850000</v>
      </c>
      <c r="R22" s="77"/>
      <c r="S22" s="445">
        <f t="shared" si="6"/>
        <v>1850000</v>
      </c>
      <c r="T22" s="379">
        <f t="shared" si="2"/>
        <v>1850000</v>
      </c>
      <c r="U22" s="385">
        <f t="shared" si="8"/>
        <v>0</v>
      </c>
      <c r="V22" s="380">
        <f t="shared" si="3"/>
        <v>0</v>
      </c>
      <c r="W22" s="385">
        <f t="shared" si="4"/>
        <v>0</v>
      </c>
      <c r="X22" s="380">
        <f t="shared" si="5"/>
        <v>0</v>
      </c>
      <c r="Y22" s="377">
        <f t="shared" si="1"/>
        <v>0</v>
      </c>
    </row>
    <row r="23" spans="1:25" ht="15" customHeight="1">
      <c r="A23" s="101"/>
      <c r="B23" s="67"/>
      <c r="C23" s="240"/>
      <c r="D23" s="239"/>
      <c r="E23" s="239"/>
      <c r="F23" s="223"/>
      <c r="G23" s="73" t="s">
        <v>267</v>
      </c>
      <c r="H23" s="74" t="s">
        <v>37</v>
      </c>
      <c r="I23" s="308" t="s">
        <v>117</v>
      </c>
      <c r="J23" s="75">
        <v>1500000</v>
      </c>
      <c r="K23" s="76" t="s">
        <v>160</v>
      </c>
      <c r="L23" s="77">
        <v>1</v>
      </c>
      <c r="M23" s="76" t="s">
        <v>169</v>
      </c>
      <c r="N23" s="77"/>
      <c r="O23" s="76"/>
      <c r="P23" s="225" t="s">
        <v>0</v>
      </c>
      <c r="Q23" s="226">
        <f>ROUNDDOWN(J23*L23,-3)</f>
        <v>1500000</v>
      </c>
      <c r="R23" s="77"/>
      <c r="S23" s="445">
        <f t="shared" si="6"/>
        <v>1500000</v>
      </c>
      <c r="T23" s="379">
        <f t="shared" si="2"/>
        <v>1500000</v>
      </c>
      <c r="U23" s="385">
        <f t="shared" si="8"/>
        <v>0</v>
      </c>
      <c r="V23" s="380">
        <f t="shared" si="3"/>
        <v>0</v>
      </c>
      <c r="W23" s="385">
        <f t="shared" si="4"/>
        <v>0</v>
      </c>
      <c r="X23" s="380">
        <f t="shared" si="5"/>
        <v>0</v>
      </c>
      <c r="Y23" s="377">
        <f t="shared" si="1"/>
        <v>0</v>
      </c>
    </row>
    <row r="24" spans="1:25" ht="15" customHeight="1">
      <c r="A24" s="62"/>
      <c r="B24" s="67"/>
      <c r="C24" s="237"/>
      <c r="D24" s="239"/>
      <c r="E24" s="239"/>
      <c r="F24" s="223"/>
      <c r="G24" s="73" t="s">
        <v>267</v>
      </c>
      <c r="H24" s="74" t="s">
        <v>304</v>
      </c>
      <c r="I24" s="308" t="s">
        <v>117</v>
      </c>
      <c r="J24" s="75">
        <v>250000</v>
      </c>
      <c r="K24" s="76" t="s">
        <v>160</v>
      </c>
      <c r="L24" s="134">
        <v>2</v>
      </c>
      <c r="M24" s="76" t="s">
        <v>303</v>
      </c>
      <c r="N24" s="77"/>
      <c r="O24" s="76"/>
      <c r="P24" s="225" t="s">
        <v>0</v>
      </c>
      <c r="Q24" s="226">
        <f>ROUNDDOWN(J24*L24,-3)</f>
        <v>500000</v>
      </c>
      <c r="R24" s="77"/>
      <c r="S24" s="445">
        <f t="shared" si="6"/>
        <v>500000</v>
      </c>
      <c r="T24" s="379">
        <f t="shared" si="2"/>
        <v>500000</v>
      </c>
      <c r="U24" s="385">
        <f t="shared" si="8"/>
        <v>0</v>
      </c>
      <c r="V24" s="380">
        <f t="shared" si="3"/>
        <v>0</v>
      </c>
      <c r="W24" s="385">
        <f t="shared" si="4"/>
        <v>0</v>
      </c>
      <c r="X24" s="380">
        <f t="shared" si="5"/>
        <v>0</v>
      </c>
      <c r="Y24" s="377">
        <f>SUM(T24:X24)-Q24</f>
        <v>0</v>
      </c>
    </row>
    <row r="25" spans="1:25" ht="18" customHeight="1">
      <c r="A25" s="62"/>
      <c r="B25" s="67"/>
      <c r="C25" s="237"/>
      <c r="D25" s="239"/>
      <c r="E25" s="239"/>
      <c r="F25" s="223"/>
      <c r="G25" s="82" t="s">
        <v>267</v>
      </c>
      <c r="H25" s="83" t="s">
        <v>142</v>
      </c>
      <c r="I25" s="308" t="s">
        <v>117</v>
      </c>
      <c r="J25" s="75">
        <v>800000</v>
      </c>
      <c r="K25" s="76" t="s">
        <v>160</v>
      </c>
      <c r="L25" s="134">
        <v>2</v>
      </c>
      <c r="M25" s="76" t="s">
        <v>165</v>
      </c>
      <c r="N25" s="77"/>
      <c r="O25" s="76"/>
      <c r="P25" s="225" t="s">
        <v>0</v>
      </c>
      <c r="Q25" s="226">
        <f>ROUNDDOWN(J25*L25,-3)</f>
        <v>1600000</v>
      </c>
      <c r="R25" s="77"/>
      <c r="S25" s="445">
        <f t="shared" si="6"/>
        <v>1600000</v>
      </c>
      <c r="T25" s="379">
        <f t="shared" si="2"/>
        <v>1600000</v>
      </c>
      <c r="U25" s="385">
        <f t="shared" si="8"/>
        <v>0</v>
      </c>
      <c r="V25" s="380">
        <f t="shared" si="3"/>
        <v>0</v>
      </c>
      <c r="W25" s="385">
        <f t="shared" si="4"/>
        <v>0</v>
      </c>
      <c r="X25" s="380">
        <f t="shared" si="5"/>
        <v>0</v>
      </c>
      <c r="Y25" s="377">
        <f t="shared" si="1"/>
        <v>0</v>
      </c>
    </row>
    <row r="26" spans="1:25" ht="18" customHeight="1">
      <c r="A26" s="531" t="s">
        <v>38</v>
      </c>
      <c r="B26" s="524"/>
      <c r="C26" s="525"/>
      <c r="D26" s="242">
        <f>D27</f>
        <v>26000</v>
      </c>
      <c r="E26" s="144">
        <f>SUM(T26:X29)*0.001</f>
        <v>139600</v>
      </c>
      <c r="F26" s="243">
        <f aca="true" t="shared" si="9" ref="F26:F39">E26-D26</f>
        <v>113600</v>
      </c>
      <c r="G26" s="341"/>
      <c r="H26" s="344"/>
      <c r="I26" s="54"/>
      <c r="J26" s="54"/>
      <c r="K26" s="54"/>
      <c r="L26" s="54"/>
      <c r="M26" s="54"/>
      <c r="N26" s="54"/>
      <c r="O26" s="54"/>
      <c r="P26" s="54"/>
      <c r="Q26" s="318"/>
      <c r="R26" s="19"/>
      <c r="S26" s="449"/>
      <c r="T26" s="405" t="str">
        <f>A26</f>
        <v>05.후원금수입</v>
      </c>
      <c r="U26" s="371"/>
      <c r="V26" s="371"/>
      <c r="W26" s="371"/>
      <c r="X26" s="371"/>
      <c r="Y26" s="377">
        <f t="shared" si="1"/>
        <v>0</v>
      </c>
    </row>
    <row r="27" spans="1:25" ht="18" customHeight="1">
      <c r="A27" s="244"/>
      <c r="B27" s="526" t="s">
        <v>39</v>
      </c>
      <c r="C27" s="525"/>
      <c r="D27" s="49">
        <f>SUM(D28:D29)</f>
        <v>26000</v>
      </c>
      <c r="E27" s="49">
        <f>SUM(T27:X29)*0.001</f>
        <v>139600</v>
      </c>
      <c r="F27" s="243">
        <f t="shared" si="9"/>
        <v>113600</v>
      </c>
      <c r="G27" s="337"/>
      <c r="H27" s="213"/>
      <c r="I27" s="97"/>
      <c r="J27" s="98"/>
      <c r="K27" s="250"/>
      <c r="L27" s="251"/>
      <c r="M27" s="250"/>
      <c r="N27" s="251"/>
      <c r="O27" s="250"/>
      <c r="P27" s="252"/>
      <c r="Q27" s="253"/>
      <c r="R27" s="235"/>
      <c r="S27" s="448"/>
      <c r="T27" s="405" t="str">
        <f>B27</f>
        <v>51.후원금수입</v>
      </c>
      <c r="U27" s="407"/>
      <c r="V27" s="371"/>
      <c r="W27" s="371"/>
      <c r="X27" s="371"/>
      <c r="Y27" s="377">
        <f t="shared" si="1"/>
        <v>0</v>
      </c>
    </row>
    <row r="28" spans="1:25" ht="18" customHeight="1">
      <c r="A28" s="62"/>
      <c r="B28" s="100"/>
      <c r="C28" s="420" t="s">
        <v>40</v>
      </c>
      <c r="D28" s="242">
        <v>2000</v>
      </c>
      <c r="E28" s="144">
        <f>SUM(T28:X28)*0.001</f>
        <v>100000</v>
      </c>
      <c r="F28" s="243">
        <f t="shared" si="9"/>
        <v>98000</v>
      </c>
      <c r="G28" s="333" t="s">
        <v>267</v>
      </c>
      <c r="H28" s="83" t="s">
        <v>265</v>
      </c>
      <c r="I28" s="312" t="s">
        <v>217</v>
      </c>
      <c r="J28" s="84">
        <v>100000000</v>
      </c>
      <c r="K28" s="86" t="s">
        <v>160</v>
      </c>
      <c r="L28" s="94">
        <v>1</v>
      </c>
      <c r="M28" s="86" t="s">
        <v>172</v>
      </c>
      <c r="N28" s="94"/>
      <c r="O28" s="86"/>
      <c r="P28" s="241" t="s">
        <v>0</v>
      </c>
      <c r="Q28" s="345">
        <f>ROUNDDOWN(J28*L28,-3)</f>
        <v>100000000</v>
      </c>
      <c r="R28" s="77"/>
      <c r="S28" s="445">
        <f>SUM(T28:X28)</f>
        <v>100000000</v>
      </c>
      <c r="T28" s="379">
        <f>SUMIF($I28,"보",$Q28)</f>
        <v>0</v>
      </c>
      <c r="U28" s="385">
        <f>SUMIF($I28,"수",$Q28)</f>
        <v>0</v>
      </c>
      <c r="V28" s="380">
        <f>SUMIF($I28,"잡",$Q28)</f>
        <v>0</v>
      </c>
      <c r="W28" s="385">
        <f>SUMIF($I28,"후(지)",$Q28)</f>
        <v>100000000</v>
      </c>
      <c r="X28" s="380">
        <f>SUMIF($I28,"후(비)",$Q28)</f>
        <v>0</v>
      </c>
      <c r="Y28" s="377">
        <f t="shared" si="1"/>
        <v>0</v>
      </c>
    </row>
    <row r="29" spans="1:25" ht="18" customHeight="1" thickBot="1">
      <c r="A29" s="283"/>
      <c r="B29" s="284"/>
      <c r="C29" s="417" t="s">
        <v>41</v>
      </c>
      <c r="D29" s="418">
        <v>24000</v>
      </c>
      <c r="E29" s="282">
        <f>SUM(T29:X29)*0.001</f>
        <v>39600</v>
      </c>
      <c r="F29" s="267">
        <f t="shared" si="9"/>
        <v>15600</v>
      </c>
      <c r="G29" s="285" t="s">
        <v>267</v>
      </c>
      <c r="H29" s="268" t="s">
        <v>266</v>
      </c>
      <c r="I29" s="314" t="s">
        <v>214</v>
      </c>
      <c r="J29" s="269">
        <v>3300000</v>
      </c>
      <c r="K29" s="153" t="s">
        <v>160</v>
      </c>
      <c r="L29" s="271">
        <v>12</v>
      </c>
      <c r="M29" s="153" t="s">
        <v>167</v>
      </c>
      <c r="N29" s="271"/>
      <c r="O29" s="153"/>
      <c r="P29" s="272" t="s">
        <v>0</v>
      </c>
      <c r="Q29" s="273">
        <f>ROUNDDOWN(J29*L29,-3)</f>
        <v>39600000</v>
      </c>
      <c r="R29" s="77"/>
      <c r="S29" s="445">
        <f>SUM(T29:X29)</f>
        <v>39600000</v>
      </c>
      <c r="T29" s="379">
        <f>SUMIF($I29,"보",$Q29)</f>
        <v>0</v>
      </c>
      <c r="U29" s="385">
        <f>SUMIF($I29,"수",$Q29)</f>
        <v>0</v>
      </c>
      <c r="V29" s="380">
        <f>SUMIF($I29,"잡",$Q29)</f>
        <v>0</v>
      </c>
      <c r="W29" s="385">
        <f>SUMIF($I29,"후(지)",$Q29)</f>
        <v>0</v>
      </c>
      <c r="X29" s="380">
        <f>SUMIF($I29,"후(비)",$Q29)</f>
        <v>39600000</v>
      </c>
      <c r="Y29" s="377">
        <f t="shared" si="1"/>
        <v>0</v>
      </c>
    </row>
    <row r="30" spans="1:25" ht="18" customHeight="1">
      <c r="A30" s="532" t="s">
        <v>298</v>
      </c>
      <c r="B30" s="533"/>
      <c r="C30" s="534"/>
      <c r="D30" s="412">
        <f>D31</f>
        <v>4256</v>
      </c>
      <c r="E30" s="413">
        <f>SUM(T30:X32)*0.001</f>
        <v>2000</v>
      </c>
      <c r="F30" s="414">
        <f>E30-D30</f>
        <v>-2256</v>
      </c>
      <c r="G30" s="341"/>
      <c r="H30" s="344"/>
      <c r="I30" s="415"/>
      <c r="J30" s="415"/>
      <c r="K30" s="415"/>
      <c r="L30" s="415"/>
      <c r="M30" s="415"/>
      <c r="N30" s="415"/>
      <c r="O30" s="415"/>
      <c r="P30" s="415"/>
      <c r="Q30" s="416"/>
      <c r="R30" s="19"/>
      <c r="S30" s="449"/>
      <c r="T30" s="405" t="str">
        <f>A30</f>
        <v>08.전입금</v>
      </c>
      <c r="U30" s="371"/>
      <c r="V30" s="371"/>
      <c r="W30" s="371"/>
      <c r="X30" s="371"/>
      <c r="Y30" s="377">
        <f>SUM(T30:X30)-Q30</f>
        <v>0</v>
      </c>
    </row>
    <row r="31" spans="1:25" ht="18" customHeight="1">
      <c r="A31" s="244"/>
      <c r="B31" s="526" t="s">
        <v>299</v>
      </c>
      <c r="C31" s="525"/>
      <c r="D31" s="49">
        <f>SUM(D32:D32)</f>
        <v>4256</v>
      </c>
      <c r="E31" s="49">
        <f>SUM(T31:X32)*0.001</f>
        <v>2000</v>
      </c>
      <c r="F31" s="243">
        <f>E31-D31</f>
        <v>-2256</v>
      </c>
      <c r="G31" s="337"/>
      <c r="H31" s="213"/>
      <c r="I31" s="97"/>
      <c r="J31" s="98"/>
      <c r="K31" s="250"/>
      <c r="L31" s="251"/>
      <c r="M31" s="250"/>
      <c r="N31" s="251"/>
      <c r="O31" s="250"/>
      <c r="P31" s="252"/>
      <c r="Q31" s="253"/>
      <c r="R31" s="235"/>
      <c r="S31" s="448"/>
      <c r="T31" s="405" t="str">
        <f>B31</f>
        <v>81.전입금</v>
      </c>
      <c r="U31" s="407"/>
      <c r="V31" s="371"/>
      <c r="W31" s="371"/>
      <c r="X31" s="371"/>
      <c r="Y31" s="377">
        <f>SUM(T31:X31)-Q31</f>
        <v>0</v>
      </c>
    </row>
    <row r="32" spans="1:25" ht="18" customHeight="1">
      <c r="A32" s="419"/>
      <c r="B32" s="411"/>
      <c r="C32" s="420" t="s">
        <v>300</v>
      </c>
      <c r="D32" s="242">
        <v>4256</v>
      </c>
      <c r="E32" s="144">
        <f>SUM(T32:X32)*0.001</f>
        <v>2000</v>
      </c>
      <c r="F32" s="243">
        <f>E32-D32</f>
        <v>-2256</v>
      </c>
      <c r="G32" s="333" t="s">
        <v>267</v>
      </c>
      <c r="H32" s="83" t="s">
        <v>301</v>
      </c>
      <c r="I32" s="312" t="s">
        <v>207</v>
      </c>
      <c r="J32" s="84">
        <v>2000000</v>
      </c>
      <c r="K32" s="86" t="s">
        <v>160</v>
      </c>
      <c r="L32" s="94">
        <v>1</v>
      </c>
      <c r="M32" s="86" t="s">
        <v>172</v>
      </c>
      <c r="N32" s="94"/>
      <c r="O32" s="86"/>
      <c r="P32" s="241" t="s">
        <v>0</v>
      </c>
      <c r="Q32" s="345">
        <f>ROUNDDOWN(J32*L32,-1)</f>
        <v>2000000</v>
      </c>
      <c r="R32" s="77"/>
      <c r="S32" s="445">
        <f>SUM(T32:X32)</f>
        <v>2000000</v>
      </c>
      <c r="T32" s="379">
        <f>SUMIF($I32,"보",$Q32)</f>
        <v>0</v>
      </c>
      <c r="U32" s="385">
        <f>SUMIF($I32,"수",$Q32)</f>
        <v>0</v>
      </c>
      <c r="V32" s="380">
        <f>SUMIF($I32,"잡",$Q32)</f>
        <v>2000000</v>
      </c>
      <c r="W32" s="385">
        <f>SUMIF($I32,"후(지)",$Q32)</f>
        <v>0</v>
      </c>
      <c r="X32" s="380">
        <f>SUMIF($I32,"후(비)",$Q32)</f>
        <v>0</v>
      </c>
      <c r="Y32" s="377">
        <f>SUM(T32:X32)-Q32</f>
        <v>0</v>
      </c>
    </row>
    <row r="33" spans="1:25" ht="18" customHeight="1">
      <c r="A33" s="529" t="s">
        <v>42</v>
      </c>
      <c r="B33" s="530"/>
      <c r="C33" s="530"/>
      <c r="D33" s="412">
        <f>D34</f>
        <v>29000</v>
      </c>
      <c r="E33" s="413">
        <f>SUM(T33:X36)*0.001</f>
        <v>30000</v>
      </c>
      <c r="F33" s="414">
        <f t="shared" si="9"/>
        <v>1000</v>
      </c>
      <c r="G33" s="440"/>
      <c r="H33" s="83"/>
      <c r="I33" s="307"/>
      <c r="J33" s="78"/>
      <c r="K33" s="441"/>
      <c r="L33" s="77"/>
      <c r="M33" s="441"/>
      <c r="N33" s="77"/>
      <c r="O33" s="441"/>
      <c r="P33" s="225"/>
      <c r="Q33" s="226"/>
      <c r="R33" s="77"/>
      <c r="S33" s="80"/>
      <c r="T33" s="405" t="str">
        <f>A33</f>
        <v>09.이월금</v>
      </c>
      <c r="U33" s="371"/>
      <c r="V33" s="371"/>
      <c r="W33" s="371"/>
      <c r="X33" s="371"/>
      <c r="Y33" s="377">
        <f t="shared" si="1"/>
        <v>0</v>
      </c>
    </row>
    <row r="34" spans="1:25" ht="18" customHeight="1">
      <c r="A34" s="537"/>
      <c r="B34" s="528" t="s">
        <v>43</v>
      </c>
      <c r="C34" s="528"/>
      <c r="D34" s="81">
        <f>SUM(D35:D36)</f>
        <v>29000</v>
      </c>
      <c r="E34" s="49">
        <f>SUM(T34:X36)*0.001</f>
        <v>30000</v>
      </c>
      <c r="F34" s="211">
        <f t="shared" si="9"/>
        <v>1000</v>
      </c>
      <c r="G34" s="337"/>
      <c r="H34" s="213"/>
      <c r="I34" s="97"/>
      <c r="J34" s="98"/>
      <c r="K34" s="250"/>
      <c r="L34" s="251"/>
      <c r="M34" s="250"/>
      <c r="N34" s="251"/>
      <c r="O34" s="250"/>
      <c r="P34" s="252"/>
      <c r="Q34" s="253"/>
      <c r="R34" s="235"/>
      <c r="S34" s="448"/>
      <c r="T34" s="405" t="str">
        <f>B34</f>
        <v>91.이월금</v>
      </c>
      <c r="U34" s="407"/>
      <c r="V34" s="371"/>
      <c r="W34" s="371"/>
      <c r="X34" s="371"/>
      <c r="Y34" s="377">
        <f t="shared" si="1"/>
        <v>0</v>
      </c>
    </row>
    <row r="35" spans="1:25" ht="18" customHeight="1">
      <c r="A35" s="538"/>
      <c r="B35" s="254"/>
      <c r="C35" s="255" t="s">
        <v>44</v>
      </c>
      <c r="D35" s="239">
        <v>20000</v>
      </c>
      <c r="E35" s="50">
        <f>SUM(T35:X35)*0.001</f>
        <v>10000</v>
      </c>
      <c r="F35" s="211">
        <f t="shared" si="9"/>
        <v>-10000</v>
      </c>
      <c r="G35" s="333" t="s">
        <v>267</v>
      </c>
      <c r="H35" s="83" t="s">
        <v>179</v>
      </c>
      <c r="I35" s="308" t="s">
        <v>207</v>
      </c>
      <c r="J35" s="75">
        <v>10000000</v>
      </c>
      <c r="K35" s="76" t="s">
        <v>160</v>
      </c>
      <c r="L35" s="77">
        <v>1</v>
      </c>
      <c r="M35" s="76" t="s">
        <v>172</v>
      </c>
      <c r="N35" s="77"/>
      <c r="O35" s="76"/>
      <c r="P35" s="225" t="s">
        <v>0</v>
      </c>
      <c r="Q35" s="226">
        <f>ROUNDDOWN(J35*L35,-3)</f>
        <v>10000000</v>
      </c>
      <c r="R35" s="77"/>
      <c r="S35" s="445">
        <f>SUM(T35:X35)</f>
        <v>10000000</v>
      </c>
      <c r="T35" s="379">
        <f>SUMIF($I35,"보",$Q35)</f>
        <v>0</v>
      </c>
      <c r="U35" s="385">
        <f>SUMIF($I35,"수",$Q35)</f>
        <v>0</v>
      </c>
      <c r="V35" s="380">
        <f>SUMIF($I35,"잡",$Q35)</f>
        <v>10000000</v>
      </c>
      <c r="W35" s="385">
        <f>SUMIF($I35,"후(지)",$Q35)</f>
        <v>0</v>
      </c>
      <c r="X35" s="380">
        <f>SUMIF($I35,"후(비)",$Q35)</f>
        <v>0</v>
      </c>
      <c r="Y35" s="377">
        <f t="shared" si="1"/>
        <v>0</v>
      </c>
    </row>
    <row r="36" spans="1:25" ht="18" customHeight="1">
      <c r="A36" s="256"/>
      <c r="B36" s="138"/>
      <c r="C36" s="255" t="s">
        <v>147</v>
      </c>
      <c r="D36" s="245">
        <v>9000</v>
      </c>
      <c r="E36" s="50">
        <f>SUM(T36:X36)*0.001</f>
        <v>20000</v>
      </c>
      <c r="F36" s="211">
        <f t="shared" si="9"/>
        <v>11000</v>
      </c>
      <c r="G36" s="333" t="s">
        <v>267</v>
      </c>
      <c r="H36" s="83" t="s">
        <v>180</v>
      </c>
      <c r="I36" s="319" t="s">
        <v>214</v>
      </c>
      <c r="J36" s="320">
        <v>20000000</v>
      </c>
      <c r="K36" s="321" t="s">
        <v>160</v>
      </c>
      <c r="L36" s="228">
        <v>1</v>
      </c>
      <c r="M36" s="321" t="s">
        <v>172</v>
      </c>
      <c r="N36" s="228"/>
      <c r="O36" s="321"/>
      <c r="P36" s="322" t="s">
        <v>0</v>
      </c>
      <c r="Q36" s="230">
        <f>ROUNDDOWN(J36*L36,-3)</f>
        <v>20000000</v>
      </c>
      <c r="R36" s="77"/>
      <c r="S36" s="445">
        <f>SUM(T36:X36)</f>
        <v>20000000</v>
      </c>
      <c r="T36" s="379">
        <f>SUMIF($I36,"보",$Q36)</f>
        <v>0</v>
      </c>
      <c r="U36" s="385">
        <f>SUMIF($I36,"수",$Q36)</f>
        <v>0</v>
      </c>
      <c r="V36" s="380">
        <f>SUMIF($I36,"잡",$Q36)</f>
        <v>0</v>
      </c>
      <c r="W36" s="385">
        <f>SUMIF($I36,"후(지)",$Q36)</f>
        <v>0</v>
      </c>
      <c r="X36" s="380">
        <f>SUMIF($I36,"후(비)",$Q36)</f>
        <v>20000000</v>
      </c>
      <c r="Y36" s="377">
        <f t="shared" si="1"/>
        <v>0</v>
      </c>
    </row>
    <row r="37" spans="1:25" ht="18" customHeight="1">
      <c r="A37" s="527" t="s">
        <v>45</v>
      </c>
      <c r="B37" s="528"/>
      <c r="C37" s="528"/>
      <c r="D37" s="242">
        <f>D38</f>
        <v>26820</v>
      </c>
      <c r="E37" s="144">
        <f>SUM(T37:X49)*0.001</f>
        <v>24700</v>
      </c>
      <c r="F37" s="211">
        <f t="shared" si="9"/>
        <v>-2120</v>
      </c>
      <c r="G37" s="334"/>
      <c r="H37" s="213"/>
      <c r="I37" s="128"/>
      <c r="J37" s="99"/>
      <c r="K37" s="227"/>
      <c r="L37" s="228"/>
      <c r="M37" s="227"/>
      <c r="N37" s="228"/>
      <c r="O37" s="227"/>
      <c r="P37" s="229"/>
      <c r="Q37" s="230"/>
      <c r="R37" s="77"/>
      <c r="S37" s="80"/>
      <c r="T37" s="405" t="str">
        <f>A37</f>
        <v>10.잡수입</v>
      </c>
      <c r="U37" s="371"/>
      <c r="V37" s="371"/>
      <c r="W37" s="371"/>
      <c r="X37" s="371"/>
      <c r="Y37" s="377">
        <f t="shared" si="1"/>
        <v>0</v>
      </c>
    </row>
    <row r="38" spans="1:25" ht="18" customHeight="1">
      <c r="A38" s="279"/>
      <c r="B38" s="528" t="s">
        <v>46</v>
      </c>
      <c r="C38" s="528"/>
      <c r="D38" s="49">
        <f>SUM(D39:D49)</f>
        <v>26820</v>
      </c>
      <c r="E38" s="49">
        <f>SUM(T38:X49)*0.001</f>
        <v>24700</v>
      </c>
      <c r="F38" s="211">
        <f t="shared" si="9"/>
        <v>-2120</v>
      </c>
      <c r="G38" s="340"/>
      <c r="H38" s="343"/>
      <c r="I38" s="130"/>
      <c r="J38" s="131"/>
      <c r="K38" s="231"/>
      <c r="L38" s="232"/>
      <c r="M38" s="231"/>
      <c r="N38" s="232"/>
      <c r="O38" s="231"/>
      <c r="P38" s="233"/>
      <c r="Q38" s="234"/>
      <c r="R38" s="235"/>
      <c r="S38" s="448"/>
      <c r="T38" s="405" t="str">
        <f>B38</f>
        <v>101.잡수입</v>
      </c>
      <c r="U38" s="407"/>
      <c r="V38" s="371"/>
      <c r="W38" s="371"/>
      <c r="X38" s="371"/>
      <c r="Y38" s="377">
        <f t="shared" si="1"/>
        <v>0</v>
      </c>
    </row>
    <row r="39" spans="1:25" ht="18" customHeight="1">
      <c r="A39" s="280"/>
      <c r="B39" s="258"/>
      <c r="C39" s="255" t="s">
        <v>92</v>
      </c>
      <c r="D39" s="245">
        <v>200</v>
      </c>
      <c r="E39" s="50">
        <f>SUM(T39:X42)*0.001</f>
        <v>90</v>
      </c>
      <c r="F39" s="211">
        <f t="shared" si="9"/>
        <v>-110</v>
      </c>
      <c r="G39" s="335" t="s">
        <v>267</v>
      </c>
      <c r="H39" s="306" t="s">
        <v>268</v>
      </c>
      <c r="I39" s="306"/>
      <c r="J39" s="303"/>
      <c r="K39" s="304"/>
      <c r="L39" s="246"/>
      <c r="M39" s="304"/>
      <c r="N39" s="246"/>
      <c r="O39" s="304"/>
      <c r="P39" s="247"/>
      <c r="Q39" s="313"/>
      <c r="R39" s="259"/>
      <c r="S39" s="445">
        <f>SUM(T39:X42)</f>
        <v>90000</v>
      </c>
      <c r="T39" s="369" t="str">
        <f>C39</f>
        <v>1012.기타예금이자수입</v>
      </c>
      <c r="U39" s="378"/>
      <c r="V39" s="370"/>
      <c r="W39" s="370"/>
      <c r="X39" s="370"/>
      <c r="Y39" s="377">
        <f t="shared" si="1"/>
        <v>0</v>
      </c>
    </row>
    <row r="40" spans="1:25" ht="18" customHeight="1">
      <c r="A40" s="280"/>
      <c r="B40" s="260"/>
      <c r="C40" s="257"/>
      <c r="D40" s="239"/>
      <c r="E40" s="70"/>
      <c r="F40" s="223"/>
      <c r="G40" s="336"/>
      <c r="H40" s="74" t="s">
        <v>156</v>
      </c>
      <c r="I40" s="308" t="s">
        <v>174</v>
      </c>
      <c r="J40" s="75">
        <v>30000</v>
      </c>
      <c r="K40" s="76" t="s">
        <v>160</v>
      </c>
      <c r="L40" s="77">
        <v>1</v>
      </c>
      <c r="M40" s="76" t="s">
        <v>172</v>
      </c>
      <c r="N40" s="77"/>
      <c r="O40" s="76"/>
      <c r="P40" s="225" t="s">
        <v>0</v>
      </c>
      <c r="Q40" s="226">
        <f>ROUNDDOWN(J40*L40,-3)</f>
        <v>30000</v>
      </c>
      <c r="R40" s="77"/>
      <c r="S40" s="80"/>
      <c r="T40" s="374">
        <f>SUMIF($I40,"보",$Q40)</f>
        <v>30000</v>
      </c>
      <c r="U40" s="375">
        <f>SUMIF($I40,"수",$Q40)</f>
        <v>0</v>
      </c>
      <c r="V40" s="376">
        <f>SUMIF($I40,"잡",$Q40)</f>
        <v>0</v>
      </c>
      <c r="W40" s="375">
        <f>SUMIF($I40,"후(지)",$Q40)</f>
        <v>0</v>
      </c>
      <c r="X40" s="376">
        <f>SUMIF($I40,"후(비)",$Q40)</f>
        <v>0</v>
      </c>
      <c r="Y40" s="377">
        <f t="shared" si="1"/>
        <v>0</v>
      </c>
    </row>
    <row r="41" spans="1:25" ht="18" customHeight="1">
      <c r="A41" s="280"/>
      <c r="B41" s="260"/>
      <c r="C41" s="257"/>
      <c r="D41" s="239"/>
      <c r="E41" s="70"/>
      <c r="F41" s="223"/>
      <c r="G41" s="336"/>
      <c r="H41" s="74" t="s">
        <v>156</v>
      </c>
      <c r="I41" s="308" t="s">
        <v>207</v>
      </c>
      <c r="J41" s="75">
        <v>30000</v>
      </c>
      <c r="K41" s="76" t="s">
        <v>160</v>
      </c>
      <c r="L41" s="77">
        <v>1</v>
      </c>
      <c r="M41" s="76" t="s">
        <v>172</v>
      </c>
      <c r="N41" s="77"/>
      <c r="O41" s="76"/>
      <c r="P41" s="225" t="s">
        <v>0</v>
      </c>
      <c r="Q41" s="226">
        <f>ROUNDDOWN(J41*L41,-3)</f>
        <v>30000</v>
      </c>
      <c r="R41" s="77"/>
      <c r="S41" s="80"/>
      <c r="T41" s="374">
        <f>SUMIF($I41,"보",$Q41)</f>
        <v>0</v>
      </c>
      <c r="U41" s="375">
        <f>SUMIF($I41,"수",$Q41)</f>
        <v>0</v>
      </c>
      <c r="V41" s="376">
        <f>SUMIF($I41,"잡",$Q41)</f>
        <v>30000</v>
      </c>
      <c r="W41" s="375">
        <f>SUMIF($I41,"후(지)",$Q41)</f>
        <v>0</v>
      </c>
      <c r="X41" s="376">
        <f>SUMIF($I41,"후(비)",$Q41)</f>
        <v>0</v>
      </c>
      <c r="Y41" s="377">
        <f t="shared" si="1"/>
        <v>0</v>
      </c>
    </row>
    <row r="42" spans="1:25" ht="18" customHeight="1">
      <c r="A42" s="280"/>
      <c r="B42" s="260"/>
      <c r="C42" s="257"/>
      <c r="D42" s="239"/>
      <c r="E42" s="70"/>
      <c r="F42" s="223"/>
      <c r="G42" s="336"/>
      <c r="H42" s="74" t="s">
        <v>156</v>
      </c>
      <c r="I42" s="308" t="s">
        <v>214</v>
      </c>
      <c r="J42" s="75">
        <v>30000</v>
      </c>
      <c r="K42" s="76" t="s">
        <v>160</v>
      </c>
      <c r="L42" s="77">
        <v>1</v>
      </c>
      <c r="M42" s="76" t="s">
        <v>172</v>
      </c>
      <c r="N42" s="77"/>
      <c r="O42" s="76"/>
      <c r="P42" s="225" t="s">
        <v>0</v>
      </c>
      <c r="Q42" s="226">
        <f>ROUNDDOWN(J42*L42,-3)</f>
        <v>30000</v>
      </c>
      <c r="R42" s="77"/>
      <c r="S42" s="80"/>
      <c r="T42" s="374">
        <f>SUMIF($I42,"보",$Q42)</f>
        <v>0</v>
      </c>
      <c r="U42" s="375">
        <f>SUMIF($I42,"수",$Q42)</f>
        <v>0</v>
      </c>
      <c r="V42" s="376">
        <f>SUMIF($I42,"잡",$Q42)</f>
        <v>0</v>
      </c>
      <c r="W42" s="375">
        <f>SUMIF($I42,"후(지)",$Q42)</f>
        <v>0</v>
      </c>
      <c r="X42" s="376">
        <f>SUMIF($I42,"후(비)",$Q42)</f>
        <v>30000</v>
      </c>
      <c r="Y42" s="377">
        <f t="shared" si="1"/>
        <v>0</v>
      </c>
    </row>
    <row r="43" spans="1:25" ht="18" customHeight="1">
      <c r="A43" s="280"/>
      <c r="B43" s="260"/>
      <c r="C43" s="297" t="s">
        <v>47</v>
      </c>
      <c r="D43" s="245">
        <v>26620</v>
      </c>
      <c r="E43" s="50">
        <f>SUM(T43:X49)*0.001</f>
        <v>24610</v>
      </c>
      <c r="F43" s="211">
        <f>E43-D43</f>
        <v>-2010</v>
      </c>
      <c r="G43" s="335" t="s">
        <v>267</v>
      </c>
      <c r="H43" s="306" t="s">
        <v>181</v>
      </c>
      <c r="I43" s="329"/>
      <c r="J43" s="303"/>
      <c r="K43" s="304"/>
      <c r="L43" s="303"/>
      <c r="M43" s="304"/>
      <c r="N43" s="246"/>
      <c r="O43" s="304"/>
      <c r="P43" s="247"/>
      <c r="Q43" s="330"/>
      <c r="R43" s="263"/>
      <c r="S43" s="445">
        <f>SUM(T43:X45)</f>
        <v>1750000</v>
      </c>
      <c r="T43" s="379"/>
      <c r="U43" s="378"/>
      <c r="V43" s="380"/>
      <c r="W43" s="378"/>
      <c r="X43" s="380"/>
      <c r="Y43" s="377">
        <f t="shared" si="1"/>
        <v>0</v>
      </c>
    </row>
    <row r="44" spans="1:25" ht="18" customHeight="1">
      <c r="A44" s="280"/>
      <c r="B44" s="260"/>
      <c r="C44" s="261"/>
      <c r="D44" s="239"/>
      <c r="E44" s="262"/>
      <c r="F44" s="223"/>
      <c r="G44" s="336"/>
      <c r="H44" s="74" t="s">
        <v>177</v>
      </c>
      <c r="I44" s="308" t="s">
        <v>207</v>
      </c>
      <c r="J44" s="75">
        <v>250000</v>
      </c>
      <c r="K44" s="76" t="s">
        <v>160</v>
      </c>
      <c r="L44" s="134">
        <v>4</v>
      </c>
      <c r="M44" s="76" t="s">
        <v>169</v>
      </c>
      <c r="N44" s="77"/>
      <c r="O44" s="76"/>
      <c r="P44" s="225" t="s">
        <v>0</v>
      </c>
      <c r="Q44" s="226">
        <f>ROUNDDOWN(J44*L44,-3)</f>
        <v>1000000</v>
      </c>
      <c r="R44" s="77"/>
      <c r="S44" s="80"/>
      <c r="T44" s="374">
        <f>SUMIF($I44,"보",$Q44)</f>
        <v>0</v>
      </c>
      <c r="U44" s="375">
        <f>SUMIF($I44,"수",$Q44)</f>
        <v>0</v>
      </c>
      <c r="V44" s="376">
        <f>SUMIF($I44,"잡",$Q44)</f>
        <v>1000000</v>
      </c>
      <c r="W44" s="375">
        <f>SUMIF($I44,"후(지)",$Q44)</f>
        <v>0</v>
      </c>
      <c r="X44" s="376">
        <f>SUMIF($I44,"후(비)",$Q44)</f>
        <v>0</v>
      </c>
      <c r="Y44" s="377">
        <f t="shared" si="1"/>
        <v>0</v>
      </c>
    </row>
    <row r="45" spans="1:25" ht="18" customHeight="1">
      <c r="A45" s="280"/>
      <c r="B45" s="260"/>
      <c r="C45" s="261"/>
      <c r="D45" s="239"/>
      <c r="E45" s="262"/>
      <c r="F45" s="223"/>
      <c r="G45" s="336"/>
      <c r="H45" s="74" t="s">
        <v>157</v>
      </c>
      <c r="I45" s="308" t="s">
        <v>207</v>
      </c>
      <c r="J45" s="75">
        <v>150000</v>
      </c>
      <c r="K45" s="76" t="s">
        <v>160</v>
      </c>
      <c r="L45" s="134">
        <v>5</v>
      </c>
      <c r="M45" s="76" t="s">
        <v>165</v>
      </c>
      <c r="N45" s="77"/>
      <c r="O45" s="76"/>
      <c r="P45" s="225" t="s">
        <v>0</v>
      </c>
      <c r="Q45" s="226">
        <f>ROUNDDOWN(J45*L45,-3)</f>
        <v>750000</v>
      </c>
      <c r="R45" s="77"/>
      <c r="S45" s="80"/>
      <c r="T45" s="374">
        <f>SUMIF($I45,"보",$Q45)</f>
        <v>0</v>
      </c>
      <c r="U45" s="375">
        <f>SUMIF($I45,"수",$Q45)</f>
        <v>0</v>
      </c>
      <c r="V45" s="376">
        <f>SUMIF($I45,"잡",$Q45)</f>
        <v>750000</v>
      </c>
      <c r="W45" s="375">
        <f>SUMIF($I45,"후(지)",$Q45)</f>
        <v>0</v>
      </c>
      <c r="X45" s="376">
        <f>SUMIF($I45,"후(비)",$Q45)</f>
        <v>0</v>
      </c>
      <c r="Y45" s="377">
        <f t="shared" si="1"/>
        <v>0</v>
      </c>
    </row>
    <row r="46" spans="1:25" ht="18" customHeight="1">
      <c r="A46" s="280"/>
      <c r="B46" s="260"/>
      <c r="C46" s="261"/>
      <c r="D46" s="239"/>
      <c r="E46" s="262"/>
      <c r="F46" s="223"/>
      <c r="G46" s="73" t="s">
        <v>267</v>
      </c>
      <c r="H46" s="339" t="s">
        <v>178</v>
      </c>
      <c r="I46" s="308"/>
      <c r="J46" s="75"/>
      <c r="K46" s="76"/>
      <c r="L46" s="134"/>
      <c r="M46" s="76"/>
      <c r="N46" s="77"/>
      <c r="O46" s="76"/>
      <c r="P46" s="225"/>
      <c r="Q46" s="226"/>
      <c r="R46" s="80"/>
      <c r="S46" s="445">
        <f>SUM(T46:X49)</f>
        <v>22860000</v>
      </c>
      <c r="T46" s="379"/>
      <c r="U46" s="378"/>
      <c r="V46" s="380"/>
      <c r="W46" s="378"/>
      <c r="X46" s="380"/>
      <c r="Y46" s="377">
        <f t="shared" si="1"/>
        <v>0</v>
      </c>
    </row>
    <row r="47" spans="1:25" ht="18" customHeight="1">
      <c r="A47" s="280"/>
      <c r="B47" s="138"/>
      <c r="C47" s="139"/>
      <c r="D47" s="265"/>
      <c r="E47" s="266"/>
      <c r="F47" s="223"/>
      <c r="G47" s="336"/>
      <c r="H47" s="74" t="s">
        <v>187</v>
      </c>
      <c r="I47" s="308" t="s">
        <v>207</v>
      </c>
      <c r="J47" s="75">
        <v>60000</v>
      </c>
      <c r="K47" s="76" t="s">
        <v>160</v>
      </c>
      <c r="L47" s="134">
        <v>10</v>
      </c>
      <c r="M47" s="76" t="s">
        <v>162</v>
      </c>
      <c r="N47" s="77">
        <v>12</v>
      </c>
      <c r="O47" s="76" t="s">
        <v>167</v>
      </c>
      <c r="P47" s="225" t="s">
        <v>0</v>
      </c>
      <c r="Q47" s="226">
        <f>ROUNDDOWN(J47*L47*N47,-3)</f>
        <v>7200000</v>
      </c>
      <c r="R47" s="77"/>
      <c r="S47" s="80"/>
      <c r="T47" s="374">
        <f>SUMIF($I47,"보",$Q47)</f>
        <v>0</v>
      </c>
      <c r="U47" s="375">
        <f>SUMIF($I47,"수",$Q47)</f>
        <v>0</v>
      </c>
      <c r="V47" s="376">
        <f>SUMIF($I47,"잡",$Q47)</f>
        <v>7200000</v>
      </c>
      <c r="W47" s="375">
        <f>SUMIF($I47,"후(지)",$Q47)</f>
        <v>0</v>
      </c>
      <c r="X47" s="376">
        <f>SUMIF($I47,"후(비)",$Q47)</f>
        <v>0</v>
      </c>
      <c r="Y47" s="377">
        <f t="shared" si="1"/>
        <v>0</v>
      </c>
    </row>
    <row r="48" spans="1:25" ht="18" customHeight="1">
      <c r="A48" s="280"/>
      <c r="B48" s="138"/>
      <c r="C48" s="139"/>
      <c r="D48" s="265"/>
      <c r="E48" s="266"/>
      <c r="F48" s="223"/>
      <c r="G48" s="336"/>
      <c r="H48" s="74" t="s">
        <v>188</v>
      </c>
      <c r="I48" s="308" t="s">
        <v>207</v>
      </c>
      <c r="J48" s="75">
        <v>80000</v>
      </c>
      <c r="K48" s="76" t="s">
        <v>160</v>
      </c>
      <c r="L48" s="134">
        <v>16</v>
      </c>
      <c r="M48" s="76" t="s">
        <v>162</v>
      </c>
      <c r="N48" s="77">
        <v>12</v>
      </c>
      <c r="O48" s="76" t="s">
        <v>167</v>
      </c>
      <c r="P48" s="225" t="s">
        <v>0</v>
      </c>
      <c r="Q48" s="226">
        <f>ROUNDDOWN(J48*L48*N48,-3)</f>
        <v>15360000</v>
      </c>
      <c r="R48" s="77"/>
      <c r="S48" s="80"/>
      <c r="T48" s="374">
        <f>SUMIF($I48,"보",$Q48)</f>
        <v>0</v>
      </c>
      <c r="U48" s="375">
        <f>SUMIF($I48,"수",$Q48)</f>
        <v>0</v>
      </c>
      <c r="V48" s="376">
        <f>SUMIF($I48,"잡",$Q48)</f>
        <v>15360000</v>
      </c>
      <c r="W48" s="375">
        <f>SUMIF($I48,"후(지)",$Q48)</f>
        <v>0</v>
      </c>
      <c r="X48" s="376">
        <f>SUMIF($I48,"후(비)",$Q48)</f>
        <v>0</v>
      </c>
      <c r="Y48" s="377">
        <f>SUM(T48:X48)-Q48</f>
        <v>0</v>
      </c>
    </row>
    <row r="49" spans="1:25" ht="18" customHeight="1" thickBot="1">
      <c r="A49" s="281"/>
      <c r="B49" s="145"/>
      <c r="C49" s="326"/>
      <c r="D49" s="327"/>
      <c r="E49" s="328"/>
      <c r="F49" s="267"/>
      <c r="G49" s="342"/>
      <c r="H49" s="268" t="s">
        <v>320</v>
      </c>
      <c r="I49" s="314" t="s">
        <v>207</v>
      </c>
      <c r="J49" s="269">
        <v>50000</v>
      </c>
      <c r="K49" s="153" t="s">
        <v>160</v>
      </c>
      <c r="L49" s="270">
        <v>1</v>
      </c>
      <c r="M49" s="153" t="s">
        <v>162</v>
      </c>
      <c r="N49" s="271">
        <v>6</v>
      </c>
      <c r="O49" s="153" t="s">
        <v>167</v>
      </c>
      <c r="P49" s="272" t="s">
        <v>0</v>
      </c>
      <c r="Q49" s="273">
        <f>ROUNDDOWN(J49*L49*N49,-3)</f>
        <v>300000</v>
      </c>
      <c r="R49" s="77"/>
      <c r="S49" s="80"/>
      <c r="T49" s="374">
        <f>SUMIF($I49,"보",$Q49)</f>
        <v>0</v>
      </c>
      <c r="U49" s="375">
        <f>SUMIF($I49,"수",$Q49)</f>
        <v>0</v>
      </c>
      <c r="V49" s="376">
        <f>SUMIF($I49,"잡",$Q49)</f>
        <v>300000</v>
      </c>
      <c r="W49" s="375">
        <f>SUMIF($I49,"후(지)",$Q49)</f>
        <v>0</v>
      </c>
      <c r="X49" s="376">
        <f>SUMIF($I49,"후(비)",$Q49)</f>
        <v>0</v>
      </c>
      <c r="Y49" s="377">
        <f t="shared" si="1"/>
        <v>0</v>
      </c>
    </row>
    <row r="50" spans="4:24" ht="14.25">
      <c r="D50" s="274"/>
      <c r="E50" s="274"/>
      <c r="H50" s="323"/>
      <c r="I50" s="324"/>
      <c r="J50" s="275"/>
      <c r="K50" s="276"/>
      <c r="L50" s="523"/>
      <c r="M50" s="523"/>
      <c r="N50" s="523"/>
      <c r="O50" s="276"/>
      <c r="P50" s="325"/>
      <c r="Q50" s="325"/>
      <c r="R50" s="277"/>
      <c r="S50" s="450"/>
      <c r="T50" s="350"/>
      <c r="U50" s="350"/>
      <c r="V50" s="350"/>
      <c r="W50" s="350"/>
      <c r="X50" s="350"/>
    </row>
    <row r="51" spans="8:10" ht="14.25">
      <c r="H51" s="18"/>
      <c r="I51" s="17"/>
      <c r="J51" s="17"/>
    </row>
    <row r="52" ht="14.25">
      <c r="H52" s="278"/>
    </row>
    <row r="53" ht="14.25">
      <c r="H53" s="278"/>
    </row>
  </sheetData>
  <sheetProtection password="CC65" sheet="1"/>
  <mergeCells count="25">
    <mergeCell ref="R4:S4"/>
    <mergeCell ref="A10:C10"/>
    <mergeCell ref="A34:A35"/>
    <mergeCell ref="B34:C34"/>
    <mergeCell ref="C1:C3"/>
    <mergeCell ref="B8:C8"/>
    <mergeCell ref="L50:N50"/>
    <mergeCell ref="B11:C11"/>
    <mergeCell ref="B27:C27"/>
    <mergeCell ref="A37:C37"/>
    <mergeCell ref="B38:C38"/>
    <mergeCell ref="A33:C33"/>
    <mergeCell ref="A26:C26"/>
    <mergeCell ref="A30:C30"/>
    <mergeCell ref="B31:C31"/>
    <mergeCell ref="U1:V1"/>
    <mergeCell ref="W1:X1"/>
    <mergeCell ref="A4:C4"/>
    <mergeCell ref="K4:Q5"/>
    <mergeCell ref="A6:C6"/>
    <mergeCell ref="A7:C7"/>
    <mergeCell ref="R6:S6"/>
    <mergeCell ref="K3:Q3"/>
    <mergeCell ref="R5:S5"/>
  </mergeCells>
  <dataValidations count="2">
    <dataValidation type="list" allowBlank="1" showInputMessage="1" showErrorMessage="1" sqref="K1 K9:K25 O9:O25 M9:M25 K27:K29 O27:O29 M27:M29 O31:O49 K31:K49 M31:M49">
      <formula1>단위</formula1>
    </dataValidation>
    <dataValidation type="list" allowBlank="1" showInputMessage="1" showErrorMessage="1" sqref="I9:I25 I27:I29 I31:I49">
      <formula1>자금원천</formula1>
    </dataValidation>
  </dataValidations>
  <printOptions/>
  <pageMargins left="1.1023622047244095" right="0.1968503937007874" top="0.5905511811023623" bottom="0.4330708661417323" header="0.31496062992125984" footer="0.1968503937007874"/>
  <pageSetup horizontalDpi="600" verticalDpi="600" orientation="landscape" paperSize="9" r:id="rId2"/>
  <headerFooter>
    <oddFooter>&amp;C-&amp;P+1-&amp;R향기마을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8"/>
  <sheetViews>
    <sheetView zoomScale="90" zoomScaleNormal="90" workbookViewId="0" topLeftCell="A1">
      <pane ySplit="6" topLeftCell="A130" activePane="bottomLeft" state="frozen"/>
      <selection pane="topLeft" activeCell="A1" sqref="A1"/>
      <selection pane="bottomLeft" activeCell="J140" sqref="J140"/>
    </sheetView>
  </sheetViews>
  <sheetFormatPr defaultColWidth="8.88671875" defaultRowHeight="15.75" customHeight="1"/>
  <cols>
    <col min="1" max="1" width="2.10546875" style="7" customWidth="1"/>
    <col min="2" max="2" width="2.10546875" style="19" customWidth="1"/>
    <col min="3" max="3" width="14.88671875" style="17" customWidth="1"/>
    <col min="4" max="5" width="8.77734375" style="158" customWidth="1"/>
    <col min="6" max="6" width="7.77734375" style="158" customWidth="1"/>
    <col min="7" max="7" width="2.21484375" style="19" customWidth="1"/>
    <col min="8" max="8" width="22.99609375" style="29" customWidth="1"/>
    <col min="9" max="9" width="5.5546875" style="159" customWidth="1"/>
    <col min="10" max="10" width="8.88671875" style="29" customWidth="1"/>
    <col min="11" max="11" width="3.77734375" style="29" customWidth="1"/>
    <col min="12" max="12" width="3.3359375" style="160" customWidth="1"/>
    <col min="13" max="13" width="3.88671875" style="160" customWidth="1"/>
    <col min="14" max="14" width="2.99609375" style="161" customWidth="1"/>
    <col min="15" max="15" width="3.21484375" style="160" customWidth="1"/>
    <col min="16" max="16" width="2.21484375" style="161" customWidth="1"/>
    <col min="17" max="17" width="10.21484375" style="162" customWidth="1"/>
    <col min="18" max="18" width="0.10546875" style="353" hidden="1" customWidth="1"/>
    <col min="19" max="19" width="0.10546875" style="451" hidden="1" customWidth="1"/>
    <col min="20" max="20" width="0.10546875" style="364" hidden="1" customWidth="1"/>
    <col min="21" max="24" width="0.10546875" style="157" hidden="1" customWidth="1"/>
    <col min="25" max="25" width="0.10546875" style="294" hidden="1" customWidth="1"/>
    <col min="26" max="26" width="0.10546875" style="33" customWidth="1"/>
    <col min="27" max="27" width="0.10546875" style="18" customWidth="1"/>
    <col min="28" max="29" width="8.88671875" style="17" customWidth="1"/>
    <col min="30" max="16384" width="8.88671875" style="19" customWidth="1"/>
  </cols>
  <sheetData>
    <row r="1" spans="2:26" ht="22.5" customHeight="1" thickBot="1">
      <c r="B1" s="8"/>
      <c r="C1" s="543" t="s">
        <v>48</v>
      </c>
      <c r="D1" s="9"/>
      <c r="E1" s="9"/>
      <c r="F1" s="9"/>
      <c r="G1" s="10"/>
      <c r="H1" s="10"/>
      <c r="I1" s="11"/>
      <c r="J1" s="12"/>
      <c r="K1" s="13"/>
      <c r="L1" s="14"/>
      <c r="M1" s="15"/>
      <c r="N1" s="16"/>
      <c r="O1" s="15"/>
      <c r="P1" s="16"/>
      <c r="Q1" s="16"/>
      <c r="R1" s="541" t="s">
        <v>229</v>
      </c>
      <c r="S1" s="542"/>
      <c r="T1" s="439" t="s">
        <v>182</v>
      </c>
      <c r="U1" s="504" t="s">
        <v>219</v>
      </c>
      <c r="V1" s="504"/>
      <c r="W1" s="504" t="s">
        <v>220</v>
      </c>
      <c r="X1" s="504"/>
      <c r="Z1" s="17"/>
    </row>
    <row r="2" spans="1:26" ht="22.5" customHeight="1" thickBot="1">
      <c r="A2" s="8"/>
      <c r="B2" s="8"/>
      <c r="C2" s="543"/>
      <c r="D2" s="20"/>
      <c r="E2" s="20"/>
      <c r="F2" s="8"/>
      <c r="G2" s="10"/>
      <c r="H2" s="10"/>
      <c r="I2" s="11"/>
      <c r="J2" s="12"/>
      <c r="K2" s="13"/>
      <c r="L2" s="14"/>
      <c r="M2" s="15"/>
      <c r="N2" s="16"/>
      <c r="O2" s="15"/>
      <c r="P2" s="16"/>
      <c r="Q2" s="16"/>
      <c r="R2" s="547" t="s">
        <v>228</v>
      </c>
      <c r="S2" s="548"/>
      <c r="T2" s="428">
        <f>세출!T5-세입!T5</f>
        <v>0</v>
      </c>
      <c r="U2" s="429">
        <f>세출!U5-세입!U5</f>
        <v>0</v>
      </c>
      <c r="V2" s="429">
        <f>세출!V5-세입!V5</f>
        <v>0</v>
      </c>
      <c r="W2" s="429">
        <f>세출!W5-세입!W5</f>
        <v>0</v>
      </c>
      <c r="X2" s="430">
        <f>세출!X5-세입!X5</f>
        <v>0</v>
      </c>
      <c r="Y2" s="21"/>
      <c r="Z2" s="22" t="s">
        <v>240</v>
      </c>
    </row>
    <row r="3" spans="1:26" ht="22.5" customHeight="1" thickBot="1">
      <c r="A3" s="23"/>
      <c r="B3" s="23"/>
      <c r="C3" s="544"/>
      <c r="D3" s="24"/>
      <c r="E3" s="25"/>
      <c r="F3" s="26"/>
      <c r="G3" s="27"/>
      <c r="H3" s="27"/>
      <c r="I3" s="28"/>
      <c r="K3" s="520" t="s">
        <v>20</v>
      </c>
      <c r="L3" s="520"/>
      <c r="M3" s="520"/>
      <c r="N3" s="520"/>
      <c r="O3" s="520"/>
      <c r="P3" s="520"/>
      <c r="Q3" s="520"/>
      <c r="T3" s="431">
        <f>SUM(T$6:T$188)-SUMIF($I9:$I188,"보",$Q9:$Q188)</f>
        <v>0</v>
      </c>
      <c r="U3" s="436">
        <f>SUM(U$6:U$188)-SUMIF($I9:$I188,"수",$Q9:$Q188)</f>
        <v>0</v>
      </c>
      <c r="V3" s="432">
        <f>SUM(V$6:V$188)-SUMIF($I9:$I188,"잡",$Q9:$Q188)</f>
        <v>0</v>
      </c>
      <c r="W3" s="437">
        <f>SUM(W$6:W$188)-SUMIF($I9:$I188,"후(지)",$Q9:$Q188)</f>
        <v>0</v>
      </c>
      <c r="X3" s="433">
        <f>SUM(X$6:X$188)-SUMIF($I9:$I188,"후(비)",$Q9:$Q188)</f>
        <v>0</v>
      </c>
      <c r="Z3" s="17" t="s">
        <v>242</v>
      </c>
    </row>
    <row r="4" spans="1:26" ht="18" customHeight="1" thickBot="1">
      <c r="A4" s="505" t="s">
        <v>21</v>
      </c>
      <c r="B4" s="506"/>
      <c r="C4" s="506"/>
      <c r="D4" s="30">
        <f>세입!D4</f>
        <v>2015</v>
      </c>
      <c r="E4" s="30">
        <f>세입!E4</f>
        <v>2016</v>
      </c>
      <c r="F4" s="31" t="s">
        <v>22</v>
      </c>
      <c r="G4" s="17"/>
      <c r="H4" s="32"/>
      <c r="I4" s="32"/>
      <c r="J4" s="32"/>
      <c r="K4" s="507" t="s">
        <v>23</v>
      </c>
      <c r="L4" s="508"/>
      <c r="M4" s="508"/>
      <c r="N4" s="508"/>
      <c r="O4" s="508"/>
      <c r="P4" s="508"/>
      <c r="Q4" s="509"/>
      <c r="R4" s="442">
        <f>SUM(R127:R181)</f>
        <v>300</v>
      </c>
      <c r="S4" s="452">
        <f>세입!R5-세출!R5</f>
        <v>0</v>
      </c>
      <c r="T4" s="354" t="s">
        <v>182</v>
      </c>
      <c r="U4" s="349" t="s">
        <v>218</v>
      </c>
      <c r="V4" s="349" t="s">
        <v>210</v>
      </c>
      <c r="W4" s="349" t="s">
        <v>211</v>
      </c>
      <c r="X4" s="425" t="s">
        <v>212</v>
      </c>
      <c r="Y4" s="295"/>
      <c r="Z4" s="17"/>
    </row>
    <row r="5" spans="1:26" ht="18" customHeight="1" thickBot="1">
      <c r="A5" s="34" t="s">
        <v>24</v>
      </c>
      <c r="B5" s="35" t="s">
        <v>25</v>
      </c>
      <c r="C5" s="36" t="s">
        <v>26</v>
      </c>
      <c r="D5" s="37" t="s">
        <v>49</v>
      </c>
      <c r="E5" s="37" t="s">
        <v>9</v>
      </c>
      <c r="F5" s="37" t="s">
        <v>28</v>
      </c>
      <c r="G5" s="38"/>
      <c r="H5" s="39"/>
      <c r="I5" s="39"/>
      <c r="J5" s="39"/>
      <c r="K5" s="510"/>
      <c r="L5" s="510"/>
      <c r="M5" s="510"/>
      <c r="N5" s="510"/>
      <c r="O5" s="510"/>
      <c r="P5" s="510"/>
      <c r="Q5" s="511"/>
      <c r="R5" s="521">
        <f>SUM(S7:S187)</f>
        <v>1643034000</v>
      </c>
      <c r="S5" s="522"/>
      <c r="T5" s="465">
        <f>SUMIF($I9:$I188,"보",$Q9:$Q188)</f>
        <v>1413356000</v>
      </c>
      <c r="U5" s="466">
        <f>SUMIF($I9:$I188,"수",$Q9:$Q188)</f>
        <v>33408000</v>
      </c>
      <c r="V5" s="466">
        <f>SUMIF($I$9:$I$188,"잡",$Q$9:$Q188)</f>
        <v>36640000</v>
      </c>
      <c r="W5" s="466">
        <f>SUMIF($I$9:$I$188,"후(지)",$Q$9:$Q188)</f>
        <v>100000000</v>
      </c>
      <c r="X5" s="467">
        <f>SUMIF($I$9:$I$188,"후(비)",$Q$9:$Q188)</f>
        <v>59630000</v>
      </c>
      <c r="Z5" s="17" t="s">
        <v>241</v>
      </c>
    </row>
    <row r="6" spans="1:26" ht="18" customHeight="1">
      <c r="A6" s="512" t="s">
        <v>50</v>
      </c>
      <c r="B6" s="513"/>
      <c r="C6" s="513"/>
      <c r="D6" s="40">
        <f>D7+D115+D127+D182</f>
        <v>1415374</v>
      </c>
      <c r="E6" s="41">
        <f>SUM(T7:X188)*0.001</f>
        <v>1643034</v>
      </c>
      <c r="F6" s="42">
        <f>E6-D6</f>
        <v>227660</v>
      </c>
      <c r="G6" s="43"/>
      <c r="H6" s="44"/>
      <c r="I6" s="45"/>
      <c r="J6" s="46"/>
      <c r="K6" s="46"/>
      <c r="L6" s="46"/>
      <c r="M6" s="46"/>
      <c r="N6" s="47"/>
      <c r="O6" s="46"/>
      <c r="P6" s="47"/>
      <c r="Q6" s="48"/>
      <c r="R6" s="549">
        <f>SUM(Q9:Q187)-SUM(T9:X187)</f>
        <v>0</v>
      </c>
      <c r="S6" s="550"/>
      <c r="T6" s="438">
        <f>SUM(T7:T188)-T5</f>
        <v>0</v>
      </c>
      <c r="U6" s="435">
        <f>SUM(U7:U188)-U5</f>
        <v>0</v>
      </c>
      <c r="V6" s="435">
        <f>SUM(V7:V188)-V5</f>
        <v>0</v>
      </c>
      <c r="W6" s="435">
        <f>SUM(W7:W188)-W5</f>
        <v>0</v>
      </c>
      <c r="X6" s="435">
        <f>SUM(X7:X188)-X5</f>
        <v>0</v>
      </c>
      <c r="Z6" s="17" t="s">
        <v>242</v>
      </c>
    </row>
    <row r="7" spans="1:26" ht="18" customHeight="1">
      <c r="A7" s="515" t="s">
        <v>51</v>
      </c>
      <c r="B7" s="516"/>
      <c r="C7" s="516"/>
      <c r="D7" s="49">
        <f>D8+D38+D46</f>
        <v>1254038</v>
      </c>
      <c r="E7" s="50">
        <f>SUM(T7:X114)*0.001</f>
        <v>1353665</v>
      </c>
      <c r="F7" s="51">
        <f>E7-D7</f>
        <v>99627</v>
      </c>
      <c r="G7" s="52"/>
      <c r="H7" s="53"/>
      <c r="I7" s="55"/>
      <c r="J7" s="54"/>
      <c r="K7" s="54"/>
      <c r="L7" s="54"/>
      <c r="M7" s="54"/>
      <c r="N7" s="55"/>
      <c r="O7" s="54"/>
      <c r="P7" s="55"/>
      <c r="Q7" s="56"/>
      <c r="R7" s="355"/>
      <c r="S7" s="453"/>
      <c r="T7" s="408" t="str">
        <f>A7</f>
        <v>01.사무비</v>
      </c>
      <c r="U7" s="367"/>
      <c r="V7" s="367"/>
      <c r="W7" s="367"/>
      <c r="X7" s="367"/>
      <c r="Y7" s="381"/>
      <c r="Z7" s="57"/>
    </row>
    <row r="8" spans="1:26" ht="18" customHeight="1">
      <c r="A8" s="58"/>
      <c r="B8" s="526" t="s">
        <v>52</v>
      </c>
      <c r="C8" s="524"/>
      <c r="D8" s="49">
        <f>SUM(D9:D37)</f>
        <v>1149534</v>
      </c>
      <c r="E8" s="50">
        <f>SUM(T8:X37)*0.001</f>
        <v>1245052</v>
      </c>
      <c r="F8" s="71">
        <f>E8-D8</f>
        <v>95518</v>
      </c>
      <c r="G8" s="60"/>
      <c r="H8" s="54"/>
      <c r="I8" s="55"/>
      <c r="J8" s="54"/>
      <c r="K8" s="54"/>
      <c r="L8" s="54"/>
      <c r="M8" s="54"/>
      <c r="N8" s="55"/>
      <c r="O8" s="54"/>
      <c r="P8" s="55"/>
      <c r="Q8" s="61"/>
      <c r="R8" s="355"/>
      <c r="S8" s="454"/>
      <c r="T8" s="405" t="str">
        <f>B8</f>
        <v>11.인건비</v>
      </c>
      <c r="U8" s="409"/>
      <c r="V8" s="367"/>
      <c r="W8" s="367"/>
      <c r="X8" s="371"/>
      <c r="Y8" s="382"/>
      <c r="Z8" s="545"/>
    </row>
    <row r="9" spans="1:26" ht="18" customHeight="1">
      <c r="A9" s="62"/>
      <c r="B9" s="63"/>
      <c r="C9" s="64" t="s">
        <v>53</v>
      </c>
      <c r="D9" s="65">
        <v>699780</v>
      </c>
      <c r="E9" s="50">
        <f>SUM(T9:X20)*0.001</f>
        <v>763562</v>
      </c>
      <c r="F9" s="66">
        <f>E9-D9</f>
        <v>63782</v>
      </c>
      <c r="G9" s="335" t="s">
        <v>267</v>
      </c>
      <c r="H9" s="306" t="s">
        <v>222</v>
      </c>
      <c r="I9" s="393"/>
      <c r="J9" s="468"/>
      <c r="K9" s="468"/>
      <c r="L9" s="469"/>
      <c r="M9" s="469"/>
      <c r="N9" s="315"/>
      <c r="O9" s="469"/>
      <c r="P9" s="315"/>
      <c r="Q9" s="311"/>
      <c r="R9" s="355"/>
      <c r="S9" s="445">
        <f>SUM(T9:X20)</f>
        <v>763562000</v>
      </c>
      <c r="T9" s="386" t="str">
        <f>H9</f>
        <v>기본금</v>
      </c>
      <c r="U9" s="378"/>
      <c r="V9" s="378"/>
      <c r="W9" s="378"/>
      <c r="X9" s="370"/>
      <c r="Y9" s="377">
        <f aca="true" t="shared" si="0" ref="Y9:Y47">SUM(T9:X9)-Q9</f>
        <v>0</v>
      </c>
      <c r="Z9" s="545"/>
    </row>
    <row r="10" spans="1:25" ht="18" customHeight="1">
      <c r="A10" s="62"/>
      <c r="B10" s="67"/>
      <c r="C10" s="68"/>
      <c r="D10" s="69"/>
      <c r="E10" s="72"/>
      <c r="F10" s="71"/>
      <c r="G10" s="73"/>
      <c r="H10" s="74" t="s">
        <v>54</v>
      </c>
      <c r="I10" s="394" t="s">
        <v>174</v>
      </c>
      <c r="J10" s="75">
        <v>4499000</v>
      </c>
      <c r="K10" s="76" t="s">
        <v>160</v>
      </c>
      <c r="L10" s="77">
        <v>1</v>
      </c>
      <c r="M10" s="76" t="s">
        <v>162</v>
      </c>
      <c r="N10" s="78">
        <v>12</v>
      </c>
      <c r="O10" s="76" t="s">
        <v>167</v>
      </c>
      <c r="P10" s="78" t="s">
        <v>0</v>
      </c>
      <c r="Q10" s="79">
        <f>ROUNDDOWN(J10*L10*N10,-3)</f>
        <v>53988000</v>
      </c>
      <c r="R10" s="356"/>
      <c r="S10" s="455"/>
      <c r="T10" s="383">
        <f>SUMIF($I10,"보",$Q10)</f>
        <v>53988000</v>
      </c>
      <c r="U10" s="375">
        <f>SUMIF($I10,"수",$Q10)</f>
        <v>0</v>
      </c>
      <c r="V10" s="375">
        <f>SUMIF($I10,"잡",$Q10)</f>
        <v>0</v>
      </c>
      <c r="W10" s="375">
        <f>SUMIF($I10,"후(지)",$Q10)</f>
        <v>0</v>
      </c>
      <c r="X10" s="375">
        <f>SUMIF($I10,"후(비)",$Q10)</f>
        <v>0</v>
      </c>
      <c r="Y10" s="377">
        <f>SUM(T10:X10)-Q10</f>
        <v>0</v>
      </c>
    </row>
    <row r="11" spans="1:25" ht="18" customHeight="1">
      <c r="A11" s="62"/>
      <c r="B11" s="67"/>
      <c r="C11" s="68"/>
      <c r="D11" s="69"/>
      <c r="E11" s="72"/>
      <c r="F11" s="71"/>
      <c r="G11" s="73"/>
      <c r="H11" s="74" t="s">
        <v>55</v>
      </c>
      <c r="I11" s="394" t="s">
        <v>174</v>
      </c>
      <c r="J11" s="75">
        <v>3480500</v>
      </c>
      <c r="K11" s="76" t="s">
        <v>160</v>
      </c>
      <c r="L11" s="77">
        <v>1</v>
      </c>
      <c r="M11" s="76" t="s">
        <v>162</v>
      </c>
      <c r="N11" s="78">
        <v>12</v>
      </c>
      <c r="O11" s="76" t="s">
        <v>167</v>
      </c>
      <c r="P11" s="78" t="s">
        <v>0</v>
      </c>
      <c r="Q11" s="79">
        <f aca="true" t="shared" si="1" ref="Q11:Q27">ROUNDDOWN(J11*L11*N11,-3)</f>
        <v>41766000</v>
      </c>
      <c r="R11" s="356"/>
      <c r="S11" s="455"/>
      <c r="T11" s="383">
        <f>SUMIF($I11,"보",$Q11)</f>
        <v>41766000</v>
      </c>
      <c r="U11" s="375">
        <f aca="true" t="shared" si="2" ref="U11:U27">SUMIF($I11,"수",$Q11)</f>
        <v>0</v>
      </c>
      <c r="V11" s="375">
        <f aca="true" t="shared" si="3" ref="V11:V27">SUMIF($I11,"잡",$Q11)</f>
        <v>0</v>
      </c>
      <c r="W11" s="375">
        <f aca="true" t="shared" si="4" ref="W11:W27">SUMIF($I11,"후(지)",$Q11)</f>
        <v>0</v>
      </c>
      <c r="X11" s="375">
        <f aca="true" t="shared" si="5" ref="X11:X27">SUMIF($I11,"후(비)",$Q11)</f>
        <v>0</v>
      </c>
      <c r="Y11" s="377">
        <f t="shared" si="0"/>
        <v>0</v>
      </c>
    </row>
    <row r="12" spans="1:25" ht="18" customHeight="1">
      <c r="A12" s="62"/>
      <c r="B12" s="67"/>
      <c r="C12" s="68"/>
      <c r="D12" s="69"/>
      <c r="E12" s="72"/>
      <c r="F12" s="71"/>
      <c r="G12" s="73"/>
      <c r="H12" s="74" t="s">
        <v>56</v>
      </c>
      <c r="I12" s="394" t="s">
        <v>174</v>
      </c>
      <c r="J12" s="75">
        <v>2535330</v>
      </c>
      <c r="K12" s="76" t="s">
        <v>160</v>
      </c>
      <c r="L12" s="77">
        <v>1</v>
      </c>
      <c r="M12" s="76" t="s">
        <v>162</v>
      </c>
      <c r="N12" s="78">
        <v>12</v>
      </c>
      <c r="O12" s="76" t="s">
        <v>167</v>
      </c>
      <c r="P12" s="78" t="s">
        <v>0</v>
      </c>
      <c r="Q12" s="79">
        <f t="shared" si="1"/>
        <v>30423000</v>
      </c>
      <c r="R12" s="356"/>
      <c r="S12" s="455"/>
      <c r="T12" s="383">
        <f aca="true" t="shared" si="6" ref="T12:T27">SUMIF($I12,"보",$Q12)</f>
        <v>30423000</v>
      </c>
      <c r="U12" s="375">
        <f t="shared" si="2"/>
        <v>0</v>
      </c>
      <c r="V12" s="375">
        <f t="shared" si="3"/>
        <v>0</v>
      </c>
      <c r="W12" s="375">
        <f t="shared" si="4"/>
        <v>0</v>
      </c>
      <c r="X12" s="375">
        <f t="shared" si="5"/>
        <v>0</v>
      </c>
      <c r="Y12" s="377">
        <f t="shared" si="0"/>
        <v>0</v>
      </c>
    </row>
    <row r="13" spans="1:25" ht="18" customHeight="1">
      <c r="A13" s="62"/>
      <c r="B13" s="67"/>
      <c r="C13" s="68"/>
      <c r="D13" s="69"/>
      <c r="E13" s="72"/>
      <c r="F13" s="71"/>
      <c r="G13" s="73"/>
      <c r="H13" s="74" t="s">
        <v>100</v>
      </c>
      <c r="I13" s="394" t="s">
        <v>174</v>
      </c>
      <c r="J13" s="75">
        <v>3233330</v>
      </c>
      <c r="K13" s="76" t="s">
        <v>160</v>
      </c>
      <c r="L13" s="77">
        <v>1</v>
      </c>
      <c r="M13" s="76" t="s">
        <v>162</v>
      </c>
      <c r="N13" s="78">
        <v>12</v>
      </c>
      <c r="O13" s="76" t="s">
        <v>167</v>
      </c>
      <c r="P13" s="78" t="s">
        <v>0</v>
      </c>
      <c r="Q13" s="79">
        <f t="shared" si="1"/>
        <v>38799000</v>
      </c>
      <c r="R13" s="356"/>
      <c r="S13" s="455"/>
      <c r="T13" s="383">
        <f t="shared" si="6"/>
        <v>38799000</v>
      </c>
      <c r="U13" s="375">
        <f>SUMIF($I13,"수",$Q13)</f>
        <v>0</v>
      </c>
      <c r="V13" s="375">
        <f t="shared" si="3"/>
        <v>0</v>
      </c>
      <c r="W13" s="375">
        <f t="shared" si="4"/>
        <v>0</v>
      </c>
      <c r="X13" s="375">
        <f t="shared" si="5"/>
        <v>0</v>
      </c>
      <c r="Y13" s="377">
        <f t="shared" si="0"/>
        <v>0</v>
      </c>
    </row>
    <row r="14" spans="1:25" ht="18" customHeight="1">
      <c r="A14" s="62"/>
      <c r="B14" s="67"/>
      <c r="C14" s="68"/>
      <c r="D14" s="69"/>
      <c r="E14" s="72"/>
      <c r="F14" s="71"/>
      <c r="G14" s="73"/>
      <c r="H14" s="74" t="s">
        <v>101</v>
      </c>
      <c r="I14" s="394" t="s">
        <v>174</v>
      </c>
      <c r="J14" s="75">
        <v>2980160</v>
      </c>
      <c r="K14" s="76" t="s">
        <v>160</v>
      </c>
      <c r="L14" s="77">
        <v>1</v>
      </c>
      <c r="M14" s="76" t="s">
        <v>162</v>
      </c>
      <c r="N14" s="78">
        <v>12</v>
      </c>
      <c r="O14" s="76" t="s">
        <v>167</v>
      </c>
      <c r="P14" s="78" t="s">
        <v>0</v>
      </c>
      <c r="Q14" s="79">
        <f t="shared" si="1"/>
        <v>35761000</v>
      </c>
      <c r="R14" s="356"/>
      <c r="S14" s="455"/>
      <c r="T14" s="383">
        <f t="shared" si="6"/>
        <v>35761000</v>
      </c>
      <c r="U14" s="375">
        <f t="shared" si="2"/>
        <v>0</v>
      </c>
      <c r="V14" s="375">
        <f t="shared" si="3"/>
        <v>0</v>
      </c>
      <c r="W14" s="375">
        <f t="shared" si="4"/>
        <v>0</v>
      </c>
      <c r="X14" s="375">
        <f t="shared" si="5"/>
        <v>0</v>
      </c>
      <c r="Y14" s="377">
        <f t="shared" si="0"/>
        <v>0</v>
      </c>
    </row>
    <row r="15" spans="1:25" ht="18" customHeight="1">
      <c r="A15" s="62"/>
      <c r="B15" s="67"/>
      <c r="C15" s="68"/>
      <c r="D15" s="69"/>
      <c r="E15" s="72"/>
      <c r="F15" s="71"/>
      <c r="G15" s="73"/>
      <c r="H15" s="74" t="s">
        <v>311</v>
      </c>
      <c r="I15" s="394" t="s">
        <v>174</v>
      </c>
      <c r="J15" s="75">
        <v>2268000</v>
      </c>
      <c r="K15" s="76" t="s">
        <v>160</v>
      </c>
      <c r="L15" s="77">
        <v>1</v>
      </c>
      <c r="M15" s="76" t="s">
        <v>162</v>
      </c>
      <c r="N15" s="78">
        <v>12</v>
      </c>
      <c r="O15" s="76" t="s">
        <v>167</v>
      </c>
      <c r="P15" s="78" t="s">
        <v>0</v>
      </c>
      <c r="Q15" s="79">
        <f>ROUNDDOWN(J15*L15*N15,-3)</f>
        <v>27216000</v>
      </c>
      <c r="R15" s="356"/>
      <c r="S15" s="455"/>
      <c r="T15" s="383">
        <f t="shared" si="6"/>
        <v>27216000</v>
      </c>
      <c r="U15" s="375">
        <f t="shared" si="2"/>
        <v>0</v>
      </c>
      <c r="V15" s="375">
        <f t="shared" si="3"/>
        <v>0</v>
      </c>
      <c r="W15" s="375">
        <f t="shared" si="4"/>
        <v>0</v>
      </c>
      <c r="X15" s="375">
        <f t="shared" si="5"/>
        <v>0</v>
      </c>
      <c r="Y15" s="377"/>
    </row>
    <row r="16" spans="1:25" ht="18" customHeight="1">
      <c r="A16" s="62"/>
      <c r="B16" s="67"/>
      <c r="C16" s="68"/>
      <c r="D16" s="69"/>
      <c r="E16" s="72"/>
      <c r="F16" s="71"/>
      <c r="G16" s="73"/>
      <c r="H16" s="74" t="s">
        <v>104</v>
      </c>
      <c r="I16" s="394" t="s">
        <v>174</v>
      </c>
      <c r="J16" s="75">
        <v>2172000</v>
      </c>
      <c r="K16" s="76" t="s">
        <v>160</v>
      </c>
      <c r="L16" s="77">
        <v>1</v>
      </c>
      <c r="M16" s="76" t="s">
        <v>162</v>
      </c>
      <c r="N16" s="78">
        <v>12</v>
      </c>
      <c r="O16" s="76" t="s">
        <v>167</v>
      </c>
      <c r="P16" s="78" t="s">
        <v>0</v>
      </c>
      <c r="Q16" s="79">
        <f t="shared" si="1"/>
        <v>26064000</v>
      </c>
      <c r="R16" s="356"/>
      <c r="S16" s="455"/>
      <c r="T16" s="383">
        <f t="shared" si="6"/>
        <v>26064000</v>
      </c>
      <c r="U16" s="375">
        <f t="shared" si="2"/>
        <v>0</v>
      </c>
      <c r="V16" s="375">
        <f t="shared" si="3"/>
        <v>0</v>
      </c>
      <c r="W16" s="375">
        <f t="shared" si="4"/>
        <v>0</v>
      </c>
      <c r="X16" s="375">
        <f t="shared" si="5"/>
        <v>0</v>
      </c>
      <c r="Y16" s="377">
        <f t="shared" si="0"/>
        <v>0</v>
      </c>
    </row>
    <row r="17" spans="1:25" ht="18" customHeight="1">
      <c r="A17" s="62"/>
      <c r="B17" s="67"/>
      <c r="C17" s="68"/>
      <c r="D17" s="69"/>
      <c r="E17" s="72"/>
      <c r="F17" s="71"/>
      <c r="G17" s="73"/>
      <c r="H17" s="74" t="s">
        <v>105</v>
      </c>
      <c r="I17" s="394" t="s">
        <v>174</v>
      </c>
      <c r="J17" s="75">
        <v>1661500</v>
      </c>
      <c r="K17" s="76" t="s">
        <v>160</v>
      </c>
      <c r="L17" s="77">
        <v>1</v>
      </c>
      <c r="M17" s="76" t="s">
        <v>162</v>
      </c>
      <c r="N17" s="78">
        <v>12</v>
      </c>
      <c r="O17" s="76" t="s">
        <v>167</v>
      </c>
      <c r="P17" s="78" t="s">
        <v>0</v>
      </c>
      <c r="Q17" s="79">
        <f t="shared" si="1"/>
        <v>19938000</v>
      </c>
      <c r="R17" s="356"/>
      <c r="S17" s="455"/>
      <c r="T17" s="383">
        <f t="shared" si="6"/>
        <v>19938000</v>
      </c>
      <c r="U17" s="375">
        <f t="shared" si="2"/>
        <v>0</v>
      </c>
      <c r="V17" s="375">
        <f t="shared" si="3"/>
        <v>0</v>
      </c>
      <c r="W17" s="375">
        <f t="shared" si="4"/>
        <v>0</v>
      </c>
      <c r="X17" s="375">
        <f t="shared" si="5"/>
        <v>0</v>
      </c>
      <c r="Y17" s="377">
        <f t="shared" si="0"/>
        <v>0</v>
      </c>
    </row>
    <row r="18" spans="1:25" ht="18" customHeight="1">
      <c r="A18" s="62"/>
      <c r="B18" s="67"/>
      <c r="C18" s="68"/>
      <c r="D18" s="69"/>
      <c r="E18" s="72"/>
      <c r="F18" s="71"/>
      <c r="G18" s="73"/>
      <c r="H18" s="74" t="s">
        <v>103</v>
      </c>
      <c r="I18" s="394" t="s">
        <v>174</v>
      </c>
      <c r="J18" s="75">
        <v>1850200</v>
      </c>
      <c r="K18" s="76" t="s">
        <v>160</v>
      </c>
      <c r="L18" s="77">
        <v>2</v>
      </c>
      <c r="M18" s="76" t="s">
        <v>162</v>
      </c>
      <c r="N18" s="78">
        <v>12</v>
      </c>
      <c r="O18" s="76" t="s">
        <v>167</v>
      </c>
      <c r="P18" s="78" t="s">
        <v>0</v>
      </c>
      <c r="Q18" s="79">
        <f t="shared" si="1"/>
        <v>44404000</v>
      </c>
      <c r="R18" s="356"/>
      <c r="S18" s="455"/>
      <c r="T18" s="383">
        <f t="shared" si="6"/>
        <v>44404000</v>
      </c>
      <c r="U18" s="375">
        <f t="shared" si="2"/>
        <v>0</v>
      </c>
      <c r="V18" s="375">
        <f t="shared" si="3"/>
        <v>0</v>
      </c>
      <c r="W18" s="375">
        <f t="shared" si="4"/>
        <v>0</v>
      </c>
      <c r="X18" s="375">
        <f t="shared" si="5"/>
        <v>0</v>
      </c>
      <c r="Y18" s="377">
        <f t="shared" si="0"/>
        <v>0</v>
      </c>
    </row>
    <row r="19" spans="1:25" ht="18" customHeight="1">
      <c r="A19" s="62"/>
      <c r="B19" s="67"/>
      <c r="C19" s="68"/>
      <c r="D19" s="69"/>
      <c r="E19" s="72"/>
      <c r="F19" s="71"/>
      <c r="G19" s="73"/>
      <c r="H19" s="74" t="s">
        <v>102</v>
      </c>
      <c r="I19" s="394" t="s">
        <v>174</v>
      </c>
      <c r="J19" s="75">
        <v>2161700</v>
      </c>
      <c r="K19" s="76" t="s">
        <v>160</v>
      </c>
      <c r="L19" s="77">
        <v>16</v>
      </c>
      <c r="M19" s="76" t="s">
        <v>162</v>
      </c>
      <c r="N19" s="78">
        <v>12</v>
      </c>
      <c r="O19" s="76" t="s">
        <v>167</v>
      </c>
      <c r="P19" s="78" t="s">
        <v>0</v>
      </c>
      <c r="Q19" s="79">
        <f t="shared" si="1"/>
        <v>415046000</v>
      </c>
      <c r="R19" s="356"/>
      <c r="S19" s="455"/>
      <c r="T19" s="383">
        <f t="shared" si="6"/>
        <v>415046000</v>
      </c>
      <c r="U19" s="375">
        <f t="shared" si="2"/>
        <v>0</v>
      </c>
      <c r="V19" s="375">
        <f t="shared" si="3"/>
        <v>0</v>
      </c>
      <c r="W19" s="375">
        <f t="shared" si="4"/>
        <v>0</v>
      </c>
      <c r="X19" s="375">
        <f t="shared" si="5"/>
        <v>0</v>
      </c>
      <c r="Y19" s="377">
        <f t="shared" si="0"/>
        <v>0</v>
      </c>
    </row>
    <row r="20" spans="1:25" ht="18" customHeight="1">
      <c r="A20" s="62"/>
      <c r="B20" s="67"/>
      <c r="C20" s="68"/>
      <c r="D20" s="69"/>
      <c r="E20" s="72"/>
      <c r="F20" s="71"/>
      <c r="G20" s="73"/>
      <c r="H20" s="74" t="s">
        <v>106</v>
      </c>
      <c r="I20" s="394" t="s">
        <v>174</v>
      </c>
      <c r="J20" s="75">
        <v>2513100</v>
      </c>
      <c r="K20" s="76" t="s">
        <v>160</v>
      </c>
      <c r="L20" s="77">
        <v>1</v>
      </c>
      <c r="M20" s="76" t="s">
        <v>162</v>
      </c>
      <c r="N20" s="78">
        <v>12</v>
      </c>
      <c r="O20" s="76" t="s">
        <v>167</v>
      </c>
      <c r="P20" s="78" t="s">
        <v>0</v>
      </c>
      <c r="Q20" s="79">
        <f t="shared" si="1"/>
        <v>30157000</v>
      </c>
      <c r="R20" s="356"/>
      <c r="S20" s="455"/>
      <c r="T20" s="383">
        <f t="shared" si="6"/>
        <v>30157000</v>
      </c>
      <c r="U20" s="375">
        <f t="shared" si="2"/>
        <v>0</v>
      </c>
      <c r="V20" s="375">
        <f t="shared" si="3"/>
        <v>0</v>
      </c>
      <c r="W20" s="375">
        <f t="shared" si="4"/>
        <v>0</v>
      </c>
      <c r="X20" s="375">
        <f t="shared" si="5"/>
        <v>0</v>
      </c>
      <c r="Y20" s="377">
        <f t="shared" si="0"/>
        <v>0</v>
      </c>
    </row>
    <row r="21" spans="1:25" ht="18.75" customHeight="1">
      <c r="A21" s="62"/>
      <c r="B21" s="67"/>
      <c r="C21" s="64" t="s">
        <v>57</v>
      </c>
      <c r="D21" s="65">
        <v>278372</v>
      </c>
      <c r="E21" s="50">
        <f>SUM(T21:X27)*0.001</f>
        <v>298457</v>
      </c>
      <c r="F21" s="66">
        <f>E21-D21</f>
        <v>20085</v>
      </c>
      <c r="G21" s="335" t="s">
        <v>267</v>
      </c>
      <c r="H21" s="306" t="s">
        <v>269</v>
      </c>
      <c r="I21" s="393"/>
      <c r="J21" s="468"/>
      <c r="K21" s="468"/>
      <c r="L21" s="469"/>
      <c r="M21" s="469"/>
      <c r="N21" s="315"/>
      <c r="O21" s="469"/>
      <c r="P21" s="315"/>
      <c r="Q21" s="311"/>
      <c r="R21" s="355"/>
      <c r="S21" s="445">
        <f>SUM(T21:X24)</f>
        <v>256217000</v>
      </c>
      <c r="T21" s="386" t="str">
        <f>H21</f>
        <v>제수당</v>
      </c>
      <c r="U21" s="378"/>
      <c r="V21" s="378"/>
      <c r="W21" s="378"/>
      <c r="X21" s="370"/>
      <c r="Y21" s="377">
        <f t="shared" si="0"/>
        <v>0</v>
      </c>
    </row>
    <row r="22" spans="1:25" ht="18.75" customHeight="1">
      <c r="A22" s="62"/>
      <c r="B22" s="67"/>
      <c r="C22" s="68"/>
      <c r="D22" s="69"/>
      <c r="E22" s="72"/>
      <c r="F22" s="71"/>
      <c r="G22" s="73"/>
      <c r="H22" s="74" t="s">
        <v>148</v>
      </c>
      <c r="I22" s="394" t="s">
        <v>174</v>
      </c>
      <c r="J22" s="75">
        <v>1412800</v>
      </c>
      <c r="K22" s="76" t="s">
        <v>160</v>
      </c>
      <c r="L22" s="77">
        <v>26</v>
      </c>
      <c r="M22" s="76" t="s">
        <v>162</v>
      </c>
      <c r="N22" s="78">
        <v>2</v>
      </c>
      <c r="O22" s="76" t="s">
        <v>169</v>
      </c>
      <c r="P22" s="78" t="s">
        <v>0</v>
      </c>
      <c r="Q22" s="79">
        <f t="shared" si="1"/>
        <v>73465000</v>
      </c>
      <c r="R22" s="356"/>
      <c r="S22" s="455"/>
      <c r="T22" s="383">
        <f t="shared" si="6"/>
        <v>73465000</v>
      </c>
      <c r="U22" s="375">
        <f t="shared" si="2"/>
        <v>0</v>
      </c>
      <c r="V22" s="375">
        <f t="shared" si="3"/>
        <v>0</v>
      </c>
      <c r="W22" s="375">
        <f t="shared" si="4"/>
        <v>0</v>
      </c>
      <c r="X22" s="375">
        <f t="shared" si="5"/>
        <v>0</v>
      </c>
      <c r="Y22" s="377">
        <f t="shared" si="0"/>
        <v>0</v>
      </c>
    </row>
    <row r="23" spans="1:25" ht="18.75" customHeight="1">
      <c r="A23" s="62"/>
      <c r="B23" s="67"/>
      <c r="C23" s="68"/>
      <c r="D23" s="69"/>
      <c r="E23" s="72"/>
      <c r="F23" s="71"/>
      <c r="G23" s="73"/>
      <c r="H23" s="74" t="s">
        <v>107</v>
      </c>
      <c r="I23" s="394" t="s">
        <v>174</v>
      </c>
      <c r="J23" s="75">
        <v>56480</v>
      </c>
      <c r="K23" s="76" t="s">
        <v>160</v>
      </c>
      <c r="L23" s="77">
        <v>17</v>
      </c>
      <c r="M23" s="76" t="s">
        <v>162</v>
      </c>
      <c r="N23" s="78">
        <v>12</v>
      </c>
      <c r="O23" s="76" t="s">
        <v>167</v>
      </c>
      <c r="P23" s="78" t="s">
        <v>0</v>
      </c>
      <c r="Q23" s="79">
        <f t="shared" si="1"/>
        <v>11521000</v>
      </c>
      <c r="R23" s="356"/>
      <c r="S23" s="455"/>
      <c r="T23" s="383">
        <f t="shared" si="6"/>
        <v>11521000</v>
      </c>
      <c r="U23" s="375">
        <f t="shared" si="2"/>
        <v>0</v>
      </c>
      <c r="V23" s="375">
        <f t="shared" si="3"/>
        <v>0</v>
      </c>
      <c r="W23" s="375">
        <f t="shared" si="4"/>
        <v>0</v>
      </c>
      <c r="X23" s="375">
        <f t="shared" si="5"/>
        <v>0</v>
      </c>
      <c r="Y23" s="377">
        <f t="shared" si="0"/>
        <v>0</v>
      </c>
    </row>
    <row r="24" spans="1:25" ht="18.75" customHeight="1">
      <c r="A24" s="62"/>
      <c r="B24" s="67"/>
      <c r="C24" s="68"/>
      <c r="D24" s="69"/>
      <c r="E24" s="72"/>
      <c r="F24" s="71"/>
      <c r="G24" s="73"/>
      <c r="H24" s="74" t="s">
        <v>108</v>
      </c>
      <c r="I24" s="394" t="s">
        <v>174</v>
      </c>
      <c r="J24" s="75">
        <v>548820</v>
      </c>
      <c r="K24" s="76" t="s">
        <v>160</v>
      </c>
      <c r="L24" s="77">
        <v>26</v>
      </c>
      <c r="M24" s="76" t="s">
        <v>162</v>
      </c>
      <c r="N24" s="78">
        <v>12</v>
      </c>
      <c r="O24" s="76" t="s">
        <v>167</v>
      </c>
      <c r="P24" s="78" t="s">
        <v>0</v>
      </c>
      <c r="Q24" s="79">
        <f t="shared" si="1"/>
        <v>171231000</v>
      </c>
      <c r="R24" s="356"/>
      <c r="S24" s="455"/>
      <c r="T24" s="383">
        <f t="shared" si="6"/>
        <v>171231000</v>
      </c>
      <c r="U24" s="375">
        <f t="shared" si="2"/>
        <v>0</v>
      </c>
      <c r="V24" s="375">
        <f t="shared" si="3"/>
        <v>0</v>
      </c>
      <c r="W24" s="375">
        <f t="shared" si="4"/>
        <v>0</v>
      </c>
      <c r="X24" s="375">
        <f t="shared" si="5"/>
        <v>0</v>
      </c>
      <c r="Y24" s="377">
        <f t="shared" si="0"/>
        <v>0</v>
      </c>
    </row>
    <row r="25" spans="1:25" ht="18.75" customHeight="1">
      <c r="A25" s="62"/>
      <c r="B25" s="67"/>
      <c r="C25" s="68"/>
      <c r="D25" s="69"/>
      <c r="E25" s="72"/>
      <c r="F25" s="71"/>
      <c r="G25" s="73" t="s">
        <v>267</v>
      </c>
      <c r="H25" s="91" t="s">
        <v>270</v>
      </c>
      <c r="I25" s="394"/>
      <c r="J25" s="75"/>
      <c r="K25" s="76"/>
      <c r="L25" s="77"/>
      <c r="M25" s="76"/>
      <c r="N25" s="78"/>
      <c r="O25" s="76"/>
      <c r="P25" s="78"/>
      <c r="Q25" s="305"/>
      <c r="R25" s="355"/>
      <c r="S25" s="445">
        <f>SUM(T25:X27)</f>
        <v>42240000</v>
      </c>
      <c r="T25" s="386" t="str">
        <f>H25</f>
        <v>종사자수당</v>
      </c>
      <c r="U25" s="378"/>
      <c r="V25" s="380"/>
      <c r="W25" s="378"/>
      <c r="X25" s="380"/>
      <c r="Y25" s="377">
        <f t="shared" si="0"/>
        <v>0</v>
      </c>
    </row>
    <row r="26" spans="1:25" ht="18.75" customHeight="1">
      <c r="A26" s="62"/>
      <c r="B26" s="67"/>
      <c r="C26" s="68"/>
      <c r="D26" s="69"/>
      <c r="E26" s="72"/>
      <c r="F26" s="71"/>
      <c r="G26" s="73"/>
      <c r="H26" s="74" t="s">
        <v>109</v>
      </c>
      <c r="I26" s="394" t="s">
        <v>174</v>
      </c>
      <c r="J26" s="75">
        <v>40000</v>
      </c>
      <c r="K26" s="76" t="s">
        <v>160</v>
      </c>
      <c r="L26" s="77">
        <v>23</v>
      </c>
      <c r="M26" s="76" t="s">
        <v>162</v>
      </c>
      <c r="N26" s="78">
        <v>12</v>
      </c>
      <c r="O26" s="76" t="s">
        <v>167</v>
      </c>
      <c r="P26" s="78" t="s">
        <v>0</v>
      </c>
      <c r="Q26" s="79">
        <f t="shared" si="1"/>
        <v>11040000</v>
      </c>
      <c r="R26" s="356"/>
      <c r="S26" s="455"/>
      <c r="T26" s="383">
        <f t="shared" si="6"/>
        <v>11040000</v>
      </c>
      <c r="U26" s="375">
        <f t="shared" si="2"/>
        <v>0</v>
      </c>
      <c r="V26" s="375">
        <f t="shared" si="3"/>
        <v>0</v>
      </c>
      <c r="W26" s="375">
        <f t="shared" si="4"/>
        <v>0</v>
      </c>
      <c r="X26" s="375">
        <f t="shared" si="5"/>
        <v>0</v>
      </c>
      <c r="Y26" s="377">
        <f t="shared" si="0"/>
        <v>0</v>
      </c>
    </row>
    <row r="27" spans="1:25" ht="18.75" customHeight="1" thickBot="1">
      <c r="A27" s="283"/>
      <c r="B27" s="284"/>
      <c r="C27" s="146"/>
      <c r="D27" s="147"/>
      <c r="E27" s="148"/>
      <c r="F27" s="149"/>
      <c r="G27" s="285"/>
      <c r="H27" s="268" t="s">
        <v>110</v>
      </c>
      <c r="I27" s="403" t="s">
        <v>174</v>
      </c>
      <c r="J27" s="269">
        <v>100000</v>
      </c>
      <c r="K27" s="153" t="s">
        <v>160</v>
      </c>
      <c r="L27" s="271">
        <v>26</v>
      </c>
      <c r="M27" s="153" t="s">
        <v>162</v>
      </c>
      <c r="N27" s="152">
        <v>12</v>
      </c>
      <c r="O27" s="153" t="s">
        <v>167</v>
      </c>
      <c r="P27" s="152" t="s">
        <v>0</v>
      </c>
      <c r="Q27" s="154">
        <f t="shared" si="1"/>
        <v>31200000</v>
      </c>
      <c r="R27" s="356"/>
      <c r="S27" s="455"/>
      <c r="T27" s="383">
        <f t="shared" si="6"/>
        <v>31200000</v>
      </c>
      <c r="U27" s="375">
        <f t="shared" si="2"/>
        <v>0</v>
      </c>
      <c r="V27" s="375">
        <f t="shared" si="3"/>
        <v>0</v>
      </c>
      <c r="W27" s="375">
        <f t="shared" si="4"/>
        <v>0</v>
      </c>
      <c r="X27" s="375">
        <f t="shared" si="5"/>
        <v>0</v>
      </c>
      <c r="Y27" s="377">
        <f t="shared" si="0"/>
        <v>0</v>
      </c>
    </row>
    <row r="28" spans="1:25" ht="18" customHeight="1">
      <c r="A28" s="62"/>
      <c r="B28" s="67"/>
      <c r="C28" s="68" t="s">
        <v>139</v>
      </c>
      <c r="D28" s="69">
        <v>79062</v>
      </c>
      <c r="E28" s="70">
        <f>SUM(T28:X29)*0.001</f>
        <v>86002</v>
      </c>
      <c r="F28" s="71">
        <f>E28-D28</f>
        <v>6940</v>
      </c>
      <c r="G28" s="73" t="s">
        <v>267</v>
      </c>
      <c r="H28" s="91" t="s">
        <v>58</v>
      </c>
      <c r="I28" s="470"/>
      <c r="J28" s="471"/>
      <c r="K28" s="76"/>
      <c r="L28" s="77"/>
      <c r="M28" s="76"/>
      <c r="N28" s="78"/>
      <c r="O28" s="76"/>
      <c r="P28" s="78"/>
      <c r="Q28" s="305"/>
      <c r="R28" s="355"/>
      <c r="S28" s="445">
        <f>SUM(T28:X29)</f>
        <v>86002000</v>
      </c>
      <c r="T28" s="386" t="str">
        <f>H28</f>
        <v>퇴직적립금</v>
      </c>
      <c r="U28" s="378"/>
      <c r="V28" s="380"/>
      <c r="W28" s="378"/>
      <c r="X28" s="380"/>
      <c r="Y28" s="377">
        <f>SUM(T28:X28)-Q28</f>
        <v>0</v>
      </c>
    </row>
    <row r="29" spans="1:25" ht="18" customHeight="1">
      <c r="A29" s="62"/>
      <c r="B29" s="67"/>
      <c r="C29" s="68"/>
      <c r="D29" s="69"/>
      <c r="E29" s="70"/>
      <c r="F29" s="71"/>
      <c r="G29" s="85"/>
      <c r="H29" s="83" t="s">
        <v>58</v>
      </c>
      <c r="I29" s="472" t="s">
        <v>174</v>
      </c>
      <c r="J29" s="84">
        <v>275650</v>
      </c>
      <c r="K29" s="86" t="s">
        <v>160</v>
      </c>
      <c r="L29" s="94">
        <v>26</v>
      </c>
      <c r="M29" s="86" t="s">
        <v>162</v>
      </c>
      <c r="N29" s="95">
        <v>12</v>
      </c>
      <c r="O29" s="86" t="s">
        <v>167</v>
      </c>
      <c r="P29" s="78" t="s">
        <v>0</v>
      </c>
      <c r="Q29" s="79">
        <f>ROUNDDOWN(J29*L29*N29,-3)</f>
        <v>86002000</v>
      </c>
      <c r="R29" s="356"/>
      <c r="S29" s="455"/>
      <c r="T29" s="383">
        <f>SUMIF($I29,"보",$Q29)</f>
        <v>86002000</v>
      </c>
      <c r="U29" s="375">
        <f>SUMIF($I29,"수",$Q29)</f>
        <v>0</v>
      </c>
      <c r="V29" s="375">
        <f>SUMIF($I29,"잡",$Q29)</f>
        <v>0</v>
      </c>
      <c r="W29" s="375">
        <f>SUMIF($I29,"후(지)",$Q29)</f>
        <v>0</v>
      </c>
      <c r="X29" s="375">
        <f>SUMIF($I29,"후(비)",$Q29)</f>
        <v>0</v>
      </c>
      <c r="Y29" s="377">
        <f>SUM(T29:X29)-Q29</f>
        <v>0</v>
      </c>
    </row>
    <row r="30" spans="1:25" ht="17.25" customHeight="1">
      <c r="A30" s="62"/>
      <c r="B30" s="67"/>
      <c r="C30" s="64" t="s">
        <v>116</v>
      </c>
      <c r="D30" s="65">
        <v>91310</v>
      </c>
      <c r="E30" s="50">
        <f>SUM(T30:X35)*0.001</f>
        <v>96771</v>
      </c>
      <c r="F30" s="66">
        <f>E30-D30</f>
        <v>5461</v>
      </c>
      <c r="G30" s="73" t="s">
        <v>267</v>
      </c>
      <c r="H30" s="91" t="s">
        <v>271</v>
      </c>
      <c r="I30" s="393"/>
      <c r="J30" s="303"/>
      <c r="K30" s="76"/>
      <c r="L30" s="77"/>
      <c r="M30" s="76"/>
      <c r="N30" s="78"/>
      <c r="O30" s="76"/>
      <c r="P30" s="109"/>
      <c r="Q30" s="311"/>
      <c r="R30" s="355"/>
      <c r="S30" s="445">
        <f>SUM(T30:X35)</f>
        <v>96771000</v>
      </c>
      <c r="T30" s="386" t="str">
        <f>H30</f>
        <v>사회보험료</v>
      </c>
      <c r="U30" s="378"/>
      <c r="V30" s="378"/>
      <c r="W30" s="378"/>
      <c r="X30" s="370"/>
      <c r="Y30" s="377">
        <f t="shared" si="0"/>
        <v>0</v>
      </c>
    </row>
    <row r="31" spans="1:25" ht="17.25" customHeight="1">
      <c r="A31" s="62"/>
      <c r="B31" s="67"/>
      <c r="C31" s="68"/>
      <c r="D31" s="69"/>
      <c r="E31" s="70"/>
      <c r="F31" s="71"/>
      <c r="G31" s="264"/>
      <c r="H31" s="74" t="s">
        <v>111</v>
      </c>
      <c r="I31" s="394" t="s">
        <v>174</v>
      </c>
      <c r="J31" s="75">
        <v>100430</v>
      </c>
      <c r="K31" s="76" t="s">
        <v>160</v>
      </c>
      <c r="L31" s="77">
        <v>26</v>
      </c>
      <c r="M31" s="76" t="s">
        <v>162</v>
      </c>
      <c r="N31" s="78">
        <v>12</v>
      </c>
      <c r="O31" s="76" t="s">
        <v>167</v>
      </c>
      <c r="P31" s="78" t="s">
        <v>0</v>
      </c>
      <c r="Q31" s="79">
        <f>ROUNDDOWN(J31*L31*N31,-3)</f>
        <v>31334000</v>
      </c>
      <c r="R31" s="356"/>
      <c r="S31" s="455"/>
      <c r="T31" s="383">
        <f>SUMIF($I31,"보",$Q31)</f>
        <v>31334000</v>
      </c>
      <c r="U31" s="375">
        <f>SUMIF($I31,"수",$Q31)</f>
        <v>0</v>
      </c>
      <c r="V31" s="375">
        <f>SUMIF($I31,"잡",$Q31)</f>
        <v>0</v>
      </c>
      <c r="W31" s="375">
        <f>SUMIF($I31,"후(지)",$Q31)</f>
        <v>0</v>
      </c>
      <c r="X31" s="375">
        <f>SUMIF($I31,"후(비)",$Q31)</f>
        <v>0</v>
      </c>
      <c r="Y31" s="377">
        <f aca="true" t="shared" si="7" ref="Y31:Y37">SUM(T31:X31)-Q31</f>
        <v>0</v>
      </c>
    </row>
    <row r="32" spans="1:25" ht="17.25" customHeight="1">
      <c r="A32" s="62"/>
      <c r="B32" s="67"/>
      <c r="C32" s="68"/>
      <c r="D32" s="69"/>
      <c r="E32" s="72"/>
      <c r="F32" s="71"/>
      <c r="G32" s="87"/>
      <c r="H32" s="74" t="s">
        <v>112</v>
      </c>
      <c r="I32" s="394" t="s">
        <v>174</v>
      </c>
      <c r="J32" s="75">
        <v>6620</v>
      </c>
      <c r="K32" s="76" t="s">
        <v>160</v>
      </c>
      <c r="L32" s="77">
        <v>26</v>
      </c>
      <c r="M32" s="76" t="s">
        <v>162</v>
      </c>
      <c r="N32" s="78">
        <v>12</v>
      </c>
      <c r="O32" s="76" t="s">
        <v>167</v>
      </c>
      <c r="P32" s="78" t="s">
        <v>0</v>
      </c>
      <c r="Q32" s="79">
        <f>ROUNDDOWN(J32*L32*N32,-3)</f>
        <v>2065000</v>
      </c>
      <c r="R32" s="356"/>
      <c r="S32" s="455"/>
      <c r="T32" s="383">
        <f>SUMIF($I32,"보",$Q32)</f>
        <v>2065000</v>
      </c>
      <c r="U32" s="375">
        <f>SUMIF($I32,"수",$Q32)</f>
        <v>0</v>
      </c>
      <c r="V32" s="375">
        <f>SUMIF($I32,"잡",$Q32)</f>
        <v>0</v>
      </c>
      <c r="W32" s="375">
        <f>SUMIF($I32,"후(지)",$Q32)</f>
        <v>0</v>
      </c>
      <c r="X32" s="375">
        <f>SUMIF($I32,"후(비)",$Q32)</f>
        <v>0</v>
      </c>
      <c r="Y32" s="377">
        <f t="shared" si="7"/>
        <v>0</v>
      </c>
    </row>
    <row r="33" spans="1:25" ht="17.25" customHeight="1">
      <c r="A33" s="62"/>
      <c r="B33" s="67"/>
      <c r="C33" s="68"/>
      <c r="D33" s="69"/>
      <c r="E33" s="72"/>
      <c r="F33" s="71"/>
      <c r="G33" s="87"/>
      <c r="H33" s="74" t="s">
        <v>113</v>
      </c>
      <c r="I33" s="394" t="s">
        <v>174</v>
      </c>
      <c r="J33" s="75">
        <v>144420</v>
      </c>
      <c r="K33" s="76" t="s">
        <v>160</v>
      </c>
      <c r="L33" s="77">
        <v>25</v>
      </c>
      <c r="M33" s="76" t="s">
        <v>162</v>
      </c>
      <c r="N33" s="78">
        <v>12</v>
      </c>
      <c r="O33" s="76" t="s">
        <v>167</v>
      </c>
      <c r="P33" s="78" t="s">
        <v>0</v>
      </c>
      <c r="Q33" s="79">
        <f>ROUNDDOWN(J33*L33*N33,-3)</f>
        <v>43326000</v>
      </c>
      <c r="R33" s="356"/>
      <c r="S33" s="455"/>
      <c r="T33" s="383">
        <f>SUMIF($I33,"보",$Q33)</f>
        <v>43326000</v>
      </c>
      <c r="U33" s="375">
        <f>SUMIF($I33,"수",$Q33)</f>
        <v>0</v>
      </c>
      <c r="V33" s="375">
        <f>SUMIF($I33,"잡",$Q33)</f>
        <v>0</v>
      </c>
      <c r="W33" s="375">
        <f>SUMIF($I33,"후(지)",$Q33)</f>
        <v>0</v>
      </c>
      <c r="X33" s="375">
        <f>SUMIF($I33,"후(비)",$Q33)</f>
        <v>0</v>
      </c>
      <c r="Y33" s="377">
        <f t="shared" si="7"/>
        <v>0</v>
      </c>
    </row>
    <row r="34" spans="1:25" ht="17.25" customHeight="1">
      <c r="A34" s="62"/>
      <c r="B34" s="67"/>
      <c r="C34" s="68"/>
      <c r="D34" s="69"/>
      <c r="E34" s="72"/>
      <c r="F34" s="71"/>
      <c r="G34" s="87"/>
      <c r="H34" s="74" t="s">
        <v>114</v>
      </c>
      <c r="I34" s="394" t="s">
        <v>174</v>
      </c>
      <c r="J34" s="75">
        <v>41750</v>
      </c>
      <c r="K34" s="76" t="s">
        <v>160</v>
      </c>
      <c r="L34" s="77">
        <v>25</v>
      </c>
      <c r="M34" s="76" t="s">
        <v>162</v>
      </c>
      <c r="N34" s="78">
        <v>12</v>
      </c>
      <c r="O34" s="76" t="s">
        <v>167</v>
      </c>
      <c r="P34" s="78" t="s">
        <v>0</v>
      </c>
      <c r="Q34" s="79">
        <f>ROUNDDOWN(J34*L34*N34,-3)</f>
        <v>12525000</v>
      </c>
      <c r="R34" s="356"/>
      <c r="S34" s="455"/>
      <c r="T34" s="383">
        <f>SUMIF($I34,"보",$Q34)</f>
        <v>12525000</v>
      </c>
      <c r="U34" s="375">
        <f>SUMIF($I34,"수",$Q34)</f>
        <v>0</v>
      </c>
      <c r="V34" s="375">
        <f>SUMIF($I34,"잡",$Q34)</f>
        <v>0</v>
      </c>
      <c r="W34" s="375">
        <f>SUMIF($I34,"후(지)",$Q34)</f>
        <v>0</v>
      </c>
      <c r="X34" s="375">
        <f>SUMIF($I34,"후(비)",$Q34)</f>
        <v>0</v>
      </c>
      <c r="Y34" s="377">
        <f t="shared" si="7"/>
        <v>0</v>
      </c>
    </row>
    <row r="35" spans="1:25" ht="17.25" customHeight="1">
      <c r="A35" s="62"/>
      <c r="B35" s="67"/>
      <c r="C35" s="68"/>
      <c r="D35" s="69"/>
      <c r="E35" s="72"/>
      <c r="F35" s="71"/>
      <c r="G35" s="87"/>
      <c r="H35" s="74" t="s">
        <v>115</v>
      </c>
      <c r="I35" s="394" t="s">
        <v>174</v>
      </c>
      <c r="J35" s="75">
        <v>25070</v>
      </c>
      <c r="K35" s="76" t="s">
        <v>160</v>
      </c>
      <c r="L35" s="77">
        <v>25</v>
      </c>
      <c r="M35" s="76" t="s">
        <v>162</v>
      </c>
      <c r="N35" s="78">
        <v>12</v>
      </c>
      <c r="O35" s="76" t="s">
        <v>167</v>
      </c>
      <c r="P35" s="78" t="s">
        <v>0</v>
      </c>
      <c r="Q35" s="79">
        <f>ROUNDDOWN(J35*L35*N35,-3)</f>
        <v>7521000</v>
      </c>
      <c r="R35" s="356"/>
      <c r="S35" s="455"/>
      <c r="T35" s="383">
        <f>SUMIF($I35,"보",$Q35)</f>
        <v>7521000</v>
      </c>
      <c r="U35" s="375">
        <f>SUMIF($I35,"수",$Q35)</f>
        <v>0</v>
      </c>
      <c r="V35" s="375">
        <f>SUMIF($I35,"잡",$Q35)</f>
        <v>0</v>
      </c>
      <c r="W35" s="375">
        <f>SUMIF($I35,"후(지)",$Q35)</f>
        <v>0</v>
      </c>
      <c r="X35" s="375">
        <f>SUMIF($I35,"후(비)",$Q35)</f>
        <v>0</v>
      </c>
      <c r="Y35" s="377">
        <f t="shared" si="7"/>
        <v>0</v>
      </c>
    </row>
    <row r="36" spans="1:29" ht="17.25" customHeight="1">
      <c r="A36" s="62"/>
      <c r="B36" s="67"/>
      <c r="C36" s="64" t="s">
        <v>59</v>
      </c>
      <c r="D36" s="65">
        <v>1010</v>
      </c>
      <c r="E36" s="50">
        <f>SUM(T36:X37)*0.001</f>
        <v>260</v>
      </c>
      <c r="F36" s="66">
        <f>E36-D36</f>
        <v>-750</v>
      </c>
      <c r="G36" s="335" t="s">
        <v>267</v>
      </c>
      <c r="H36" s="306" t="s">
        <v>272</v>
      </c>
      <c r="I36" s="393"/>
      <c r="J36" s="303"/>
      <c r="K36" s="106"/>
      <c r="L36" s="107"/>
      <c r="M36" s="106"/>
      <c r="N36" s="108"/>
      <c r="O36" s="106"/>
      <c r="P36" s="108"/>
      <c r="Q36" s="311"/>
      <c r="R36" s="357"/>
      <c r="S36" s="445">
        <f>SUM(T36:X37)</f>
        <v>260000</v>
      </c>
      <c r="T36" s="386" t="str">
        <f>H36</f>
        <v>기타후생경비</v>
      </c>
      <c r="U36" s="378"/>
      <c r="V36" s="380"/>
      <c r="W36" s="378"/>
      <c r="X36" s="380"/>
      <c r="Y36" s="377">
        <f t="shared" si="7"/>
        <v>0</v>
      </c>
      <c r="AA36" s="88"/>
      <c r="AB36" s="19"/>
      <c r="AC36" s="19"/>
    </row>
    <row r="37" spans="1:29" ht="17.25" customHeight="1">
      <c r="A37" s="62"/>
      <c r="B37" s="89"/>
      <c r="C37" s="68"/>
      <c r="D37" s="69"/>
      <c r="E37" s="70"/>
      <c r="F37" s="71"/>
      <c r="G37" s="90"/>
      <c r="H37" s="93" t="s">
        <v>193</v>
      </c>
      <c r="I37" s="472" t="s">
        <v>174</v>
      </c>
      <c r="J37" s="84">
        <v>10000</v>
      </c>
      <c r="K37" s="86" t="s">
        <v>160</v>
      </c>
      <c r="L37" s="94">
        <v>26</v>
      </c>
      <c r="M37" s="86" t="s">
        <v>162</v>
      </c>
      <c r="N37" s="95">
        <v>1</v>
      </c>
      <c r="O37" s="86" t="s">
        <v>169</v>
      </c>
      <c r="P37" s="95" t="s">
        <v>0</v>
      </c>
      <c r="Q37" s="346">
        <f>ROUNDDOWN(J37*L37*N37,-3)</f>
        <v>260000</v>
      </c>
      <c r="R37" s="348"/>
      <c r="S37" s="456"/>
      <c r="T37" s="383">
        <f>SUMIF($I37,"보",$Q37)</f>
        <v>260000</v>
      </c>
      <c r="U37" s="375">
        <f>SUMIF($I37,"수",$Q37)</f>
        <v>0</v>
      </c>
      <c r="V37" s="375">
        <f>SUMIF($I37,"잡",$Q37)</f>
        <v>0</v>
      </c>
      <c r="W37" s="375">
        <f>SUMIF($I37,"후(지)",$Q37)</f>
        <v>0</v>
      </c>
      <c r="X37" s="375">
        <f>SUMIF($I37,"후(비)",$Q37)</f>
        <v>0</v>
      </c>
      <c r="Y37" s="377">
        <f t="shared" si="7"/>
        <v>0</v>
      </c>
      <c r="AA37" s="88"/>
      <c r="AB37" s="19"/>
      <c r="AC37" s="19"/>
    </row>
    <row r="38" spans="1:29" ht="17.25" customHeight="1">
      <c r="A38" s="62"/>
      <c r="B38" s="526" t="s">
        <v>60</v>
      </c>
      <c r="C38" s="524"/>
      <c r="D38" s="242">
        <f>SUM(D39:D45)</f>
        <v>2694</v>
      </c>
      <c r="E38" s="50">
        <f>SUM(T38:X45)*0.001</f>
        <v>7694</v>
      </c>
      <c r="F38" s="66">
        <f>E38-D38</f>
        <v>5000</v>
      </c>
      <c r="G38" s="96"/>
      <c r="H38" s="473"/>
      <c r="I38" s="474"/>
      <c r="J38" s="275"/>
      <c r="K38" s="76"/>
      <c r="L38" s="77"/>
      <c r="M38" s="76"/>
      <c r="N38" s="78"/>
      <c r="O38" s="76"/>
      <c r="P38" s="78"/>
      <c r="Q38" s="475"/>
      <c r="R38" s="355"/>
      <c r="S38" s="454"/>
      <c r="T38" s="405" t="str">
        <f>B38</f>
        <v>12.업무추진비</v>
      </c>
      <c r="U38" s="407"/>
      <c r="V38" s="367"/>
      <c r="W38" s="367"/>
      <c r="X38" s="371"/>
      <c r="Y38" s="377">
        <f t="shared" si="0"/>
        <v>0</v>
      </c>
      <c r="AA38" s="88"/>
      <c r="AB38" s="19"/>
      <c r="AC38" s="19"/>
    </row>
    <row r="39" spans="1:29" ht="18" customHeight="1">
      <c r="A39" s="62"/>
      <c r="B39" s="100"/>
      <c r="C39" s="64" t="s">
        <v>61</v>
      </c>
      <c r="D39" s="65">
        <v>1200</v>
      </c>
      <c r="E39" s="50">
        <f>SUM(T39:X41)*0.001</f>
        <v>4800</v>
      </c>
      <c r="F39" s="66">
        <f>E39-D39</f>
        <v>3600</v>
      </c>
      <c r="G39" s="335" t="s">
        <v>267</v>
      </c>
      <c r="H39" s="306" t="s">
        <v>273</v>
      </c>
      <c r="I39" s="395"/>
      <c r="J39" s="303"/>
      <c r="K39" s="106"/>
      <c r="L39" s="107"/>
      <c r="M39" s="106"/>
      <c r="N39" s="108"/>
      <c r="O39" s="106"/>
      <c r="P39" s="109"/>
      <c r="Q39" s="305"/>
      <c r="R39" s="355"/>
      <c r="S39" s="445">
        <f>SUM(T39:X41)</f>
        <v>4800000</v>
      </c>
      <c r="T39" s="386" t="str">
        <f>H39</f>
        <v>기관운영비</v>
      </c>
      <c r="U39" s="378"/>
      <c r="V39" s="380"/>
      <c r="W39" s="378"/>
      <c r="X39" s="380"/>
      <c r="Y39" s="377">
        <f t="shared" si="0"/>
        <v>0</v>
      </c>
      <c r="AA39" s="88"/>
      <c r="AB39" s="19"/>
      <c r="AC39" s="19"/>
    </row>
    <row r="40" spans="1:29" ht="18" customHeight="1">
      <c r="A40" s="101"/>
      <c r="B40" s="102"/>
      <c r="C40" s="68"/>
      <c r="D40" s="69"/>
      <c r="E40" s="70"/>
      <c r="F40" s="71"/>
      <c r="G40" s="87"/>
      <c r="H40" s="91" t="s">
        <v>326</v>
      </c>
      <c r="I40" s="394" t="s">
        <v>207</v>
      </c>
      <c r="J40" s="75">
        <v>100000</v>
      </c>
      <c r="K40" s="76" t="s">
        <v>160</v>
      </c>
      <c r="L40" s="77">
        <v>12</v>
      </c>
      <c r="M40" s="76" t="s">
        <v>167</v>
      </c>
      <c r="N40" s="78"/>
      <c r="O40" s="76"/>
      <c r="P40" s="78" t="s">
        <v>0</v>
      </c>
      <c r="Q40" s="79">
        <f>ROUNDDOWN(J40*L40,-3)</f>
        <v>1200000</v>
      </c>
      <c r="R40" s="348"/>
      <c r="S40" s="456"/>
      <c r="T40" s="383">
        <f>SUMIF($I40,"보",$Q40)</f>
        <v>0</v>
      </c>
      <c r="U40" s="375">
        <f>SUMIF($I40,"수",$Q40)</f>
        <v>0</v>
      </c>
      <c r="V40" s="375">
        <f>SUMIF($I40,"잡",$Q40)</f>
        <v>1200000</v>
      </c>
      <c r="W40" s="375">
        <f>SUMIF($I40,"후(지)",$Q40)</f>
        <v>0</v>
      </c>
      <c r="X40" s="375">
        <f>SUMIF($I40,"후(비)",$Q40)</f>
        <v>0</v>
      </c>
      <c r="Y40" s="377">
        <f>SUM(T38:X38)-Q38</f>
        <v>0</v>
      </c>
      <c r="AA40" s="88"/>
      <c r="AB40" s="19"/>
      <c r="AC40" s="19"/>
    </row>
    <row r="41" spans="1:29" ht="18" customHeight="1">
      <c r="A41" s="101"/>
      <c r="B41" s="102"/>
      <c r="C41" s="68"/>
      <c r="D41" s="69"/>
      <c r="E41" s="70"/>
      <c r="F41" s="71"/>
      <c r="G41" s="87"/>
      <c r="H41" s="91" t="s">
        <v>327</v>
      </c>
      <c r="I41" s="394" t="s">
        <v>214</v>
      </c>
      <c r="J41" s="75">
        <v>300000</v>
      </c>
      <c r="K41" s="76" t="s">
        <v>160</v>
      </c>
      <c r="L41" s="77">
        <v>12</v>
      </c>
      <c r="M41" s="76" t="s">
        <v>167</v>
      </c>
      <c r="N41" s="78"/>
      <c r="O41" s="76"/>
      <c r="P41" s="78" t="s">
        <v>0</v>
      </c>
      <c r="Q41" s="79">
        <f>ROUNDDOWN(J41*L41,-3)</f>
        <v>3600000</v>
      </c>
      <c r="R41" s="348"/>
      <c r="S41" s="456"/>
      <c r="T41" s="383">
        <f>SUMIF($I41,"보",$Q41)</f>
        <v>0</v>
      </c>
      <c r="U41" s="375">
        <f>SUMIF($I41,"수",$Q41)</f>
        <v>0</v>
      </c>
      <c r="V41" s="375">
        <f>SUMIF($I41,"잡",$Q41)</f>
        <v>0</v>
      </c>
      <c r="W41" s="375">
        <f>SUMIF($I41,"후(지)",$Q41)</f>
        <v>0</v>
      </c>
      <c r="X41" s="375">
        <f>SUMIF($I41,"후(비)",$Q41)</f>
        <v>3600000</v>
      </c>
      <c r="Y41" s="377">
        <f>SUM(T39:X39)-Q39</f>
        <v>0</v>
      </c>
      <c r="AA41" s="88"/>
      <c r="AB41" s="19"/>
      <c r="AC41" s="19"/>
    </row>
    <row r="42" spans="1:29" ht="17.25" customHeight="1">
      <c r="A42" s="101"/>
      <c r="B42" s="102"/>
      <c r="C42" s="64" t="s">
        <v>62</v>
      </c>
      <c r="D42" s="65">
        <v>1494</v>
      </c>
      <c r="E42" s="50">
        <f>SUM(T42:X45)*0.001</f>
        <v>2894</v>
      </c>
      <c r="F42" s="66">
        <f>E42-D42</f>
        <v>1400</v>
      </c>
      <c r="G42" s="335" t="s">
        <v>267</v>
      </c>
      <c r="H42" s="306" t="s">
        <v>274</v>
      </c>
      <c r="I42" s="396"/>
      <c r="J42" s="316"/>
      <c r="K42" s="106"/>
      <c r="L42" s="107"/>
      <c r="M42" s="106"/>
      <c r="N42" s="108"/>
      <c r="O42" s="106"/>
      <c r="P42" s="108"/>
      <c r="Q42" s="110"/>
      <c r="R42" s="355"/>
      <c r="S42" s="445">
        <f>SUM(T42:X45)</f>
        <v>2894000</v>
      </c>
      <c r="T42" s="386" t="str">
        <f>H42</f>
        <v>회의비</v>
      </c>
      <c r="U42" s="378"/>
      <c r="V42" s="380"/>
      <c r="W42" s="378"/>
      <c r="X42" s="380"/>
      <c r="Y42" s="377" t="e">
        <f>SUM(#REF!)-#REF!</f>
        <v>#REF!</v>
      </c>
      <c r="AA42" s="88"/>
      <c r="AB42" s="19"/>
      <c r="AC42" s="19"/>
    </row>
    <row r="43" spans="1:29" ht="17.25" customHeight="1">
      <c r="A43" s="101"/>
      <c r="B43" s="102"/>
      <c r="C43" s="68"/>
      <c r="D43" s="69"/>
      <c r="E43" s="70"/>
      <c r="F43" s="71"/>
      <c r="G43" s="104"/>
      <c r="H43" s="91" t="s">
        <v>63</v>
      </c>
      <c r="I43" s="394" t="s">
        <v>207</v>
      </c>
      <c r="J43" s="75">
        <v>150000</v>
      </c>
      <c r="K43" s="76" t="s">
        <v>160</v>
      </c>
      <c r="L43" s="77">
        <v>4</v>
      </c>
      <c r="M43" s="76" t="s">
        <v>169</v>
      </c>
      <c r="N43" s="78"/>
      <c r="O43" s="76"/>
      <c r="P43" s="78" t="s">
        <v>0</v>
      </c>
      <c r="Q43" s="79">
        <f>ROUNDDOWN(J43*L43,-3)</f>
        <v>600000</v>
      </c>
      <c r="R43" s="348"/>
      <c r="S43" s="456"/>
      <c r="T43" s="383">
        <f>SUMIF($I43,"보",$Q43)</f>
        <v>0</v>
      </c>
      <c r="U43" s="375">
        <f>SUMIF($I43,"수",$Q43)</f>
        <v>0</v>
      </c>
      <c r="V43" s="375">
        <f>SUMIF($I43,"잡",$Q43)</f>
        <v>600000</v>
      </c>
      <c r="W43" s="375">
        <f>SUMIF($I43,"후(지)",$Q43)</f>
        <v>0</v>
      </c>
      <c r="X43" s="375">
        <f>SUMIF($I43,"후(비)",$Q43)</f>
        <v>0</v>
      </c>
      <c r="Y43" s="377">
        <f>SUM(T42:X42)-Q42</f>
        <v>0</v>
      </c>
      <c r="AA43" s="88"/>
      <c r="AB43" s="19"/>
      <c r="AC43" s="19"/>
    </row>
    <row r="44" spans="1:29" ht="17.25" customHeight="1">
      <c r="A44" s="62"/>
      <c r="B44" s="89"/>
      <c r="C44" s="112"/>
      <c r="D44" s="69"/>
      <c r="E44" s="69"/>
      <c r="F44" s="71"/>
      <c r="G44" s="104"/>
      <c r="H44" s="91" t="s">
        <v>325</v>
      </c>
      <c r="I44" s="394" t="s">
        <v>207</v>
      </c>
      <c r="J44" s="75">
        <v>1000000</v>
      </c>
      <c r="K44" s="76" t="s">
        <v>160</v>
      </c>
      <c r="L44" s="77">
        <v>2</v>
      </c>
      <c r="M44" s="76" t="s">
        <v>169</v>
      </c>
      <c r="N44" s="78"/>
      <c r="O44" s="76"/>
      <c r="P44" s="78" t="s">
        <v>0</v>
      </c>
      <c r="Q44" s="79">
        <f>ROUNDDOWN(J44*L44,-3)</f>
        <v>2000000</v>
      </c>
      <c r="R44" s="348"/>
      <c r="S44" s="456"/>
      <c r="T44" s="383">
        <f>SUMIF($I44,"보",$Q44)</f>
        <v>0</v>
      </c>
      <c r="U44" s="375">
        <f>SUMIF($I44,"수",$Q44)</f>
        <v>0</v>
      </c>
      <c r="V44" s="375">
        <f>SUMIF($I44,"잡",$Q44)</f>
        <v>2000000</v>
      </c>
      <c r="W44" s="375">
        <f>SUMIF($I44,"후(지)",$Q44)</f>
        <v>0</v>
      </c>
      <c r="X44" s="375">
        <f>SUMIF($I44,"후(비)",$Q44)</f>
        <v>0</v>
      </c>
      <c r="Y44" s="377">
        <f>SUM(T44:X44)-Q44</f>
        <v>0</v>
      </c>
      <c r="AA44" s="88"/>
      <c r="AB44" s="19"/>
      <c r="AC44" s="19"/>
    </row>
    <row r="45" spans="1:29" ht="17.25" customHeight="1">
      <c r="A45" s="101"/>
      <c r="B45" s="102"/>
      <c r="C45" s="68"/>
      <c r="D45" s="69"/>
      <c r="E45" s="69"/>
      <c r="F45" s="71"/>
      <c r="G45" s="92"/>
      <c r="H45" s="91" t="s">
        <v>233</v>
      </c>
      <c r="I45" s="394" t="s">
        <v>207</v>
      </c>
      <c r="J45" s="75">
        <v>7000</v>
      </c>
      <c r="K45" s="76" t="s">
        <v>160</v>
      </c>
      <c r="L45" s="77">
        <v>7</v>
      </c>
      <c r="M45" s="76" t="s">
        <v>162</v>
      </c>
      <c r="N45" s="78">
        <v>6</v>
      </c>
      <c r="O45" s="76" t="s">
        <v>170</v>
      </c>
      <c r="P45" s="78" t="s">
        <v>0</v>
      </c>
      <c r="Q45" s="79">
        <f>ROUNDDOWN(J45*L45*N45,-3)</f>
        <v>294000</v>
      </c>
      <c r="R45" s="348"/>
      <c r="S45" s="456"/>
      <c r="T45" s="383">
        <f>SUMIF($I45,"보",$Q45)</f>
        <v>0</v>
      </c>
      <c r="U45" s="375">
        <f>SUMIF($I45,"수",$Q45)</f>
        <v>0</v>
      </c>
      <c r="V45" s="375">
        <f>SUMIF($I45,"잡",$Q45)</f>
        <v>294000</v>
      </c>
      <c r="W45" s="375">
        <f>SUMIF($I45,"후(지)",$Q45)</f>
        <v>0</v>
      </c>
      <c r="X45" s="375">
        <f>SUMIF($I45,"후(비)",$Q45)</f>
        <v>0</v>
      </c>
      <c r="Y45" s="377" t="e">
        <f>SUM(#REF!)-#REF!</f>
        <v>#REF!</v>
      </c>
      <c r="AA45" s="88"/>
      <c r="AB45" s="19"/>
      <c r="AC45" s="19"/>
    </row>
    <row r="46" spans="1:29" ht="17.25" customHeight="1">
      <c r="A46" s="101"/>
      <c r="B46" s="526" t="s">
        <v>64</v>
      </c>
      <c r="C46" s="524"/>
      <c r="D46" s="49">
        <f>SUM(D47:D114)</f>
        <v>101810</v>
      </c>
      <c r="E46" s="50">
        <f>SUM(T46:X114)*0.001</f>
        <v>100919</v>
      </c>
      <c r="F46" s="51">
        <f>E46-D46</f>
        <v>-891</v>
      </c>
      <c r="G46" s="105"/>
      <c r="H46" s="97"/>
      <c r="I46" s="249"/>
      <c r="J46" s="98"/>
      <c r="K46" s="106"/>
      <c r="L46" s="107"/>
      <c r="M46" s="106"/>
      <c r="N46" s="108"/>
      <c r="O46" s="106"/>
      <c r="P46" s="109"/>
      <c r="Q46" s="110"/>
      <c r="R46" s="355"/>
      <c r="S46" s="454"/>
      <c r="T46" s="405" t="str">
        <f>B46</f>
        <v>13.운영비</v>
      </c>
      <c r="U46" s="410"/>
      <c r="V46" s="367"/>
      <c r="W46" s="367"/>
      <c r="X46" s="371"/>
      <c r="Y46" s="377">
        <f t="shared" si="0"/>
        <v>0</v>
      </c>
      <c r="AA46" s="88"/>
      <c r="AB46" s="19"/>
      <c r="AC46" s="19"/>
    </row>
    <row r="47" spans="1:29" ht="17.25" customHeight="1">
      <c r="A47" s="62"/>
      <c r="B47" s="89"/>
      <c r="C47" s="111" t="s">
        <v>65</v>
      </c>
      <c r="D47" s="65">
        <v>7300</v>
      </c>
      <c r="E47" s="50">
        <f>SUM(T47:X52)*0.001</f>
        <v>9200</v>
      </c>
      <c r="F47" s="66">
        <f>E47-D47</f>
        <v>1900</v>
      </c>
      <c r="G47" s="335" t="s">
        <v>267</v>
      </c>
      <c r="H47" s="306" t="s">
        <v>203</v>
      </c>
      <c r="I47" s="393"/>
      <c r="J47" s="303"/>
      <c r="K47" s="106"/>
      <c r="L47" s="107"/>
      <c r="M47" s="106"/>
      <c r="N47" s="108"/>
      <c r="O47" s="106"/>
      <c r="P47" s="109"/>
      <c r="Q47" s="110"/>
      <c r="R47" s="355"/>
      <c r="S47" s="445">
        <f>SUM(T47:X48)</f>
        <v>1800000</v>
      </c>
      <c r="T47" s="386" t="str">
        <f>H47</f>
        <v>일반출장여비</v>
      </c>
      <c r="U47" s="378"/>
      <c r="V47" s="370"/>
      <c r="W47" s="370"/>
      <c r="X47" s="370"/>
      <c r="Y47" s="377">
        <f t="shared" si="0"/>
        <v>0</v>
      </c>
      <c r="AA47" s="88"/>
      <c r="AB47" s="19"/>
      <c r="AC47" s="19"/>
    </row>
    <row r="48" spans="1:29" ht="17.25" customHeight="1">
      <c r="A48" s="62"/>
      <c r="B48" s="89"/>
      <c r="C48" s="112"/>
      <c r="D48" s="69"/>
      <c r="E48" s="70"/>
      <c r="F48" s="71"/>
      <c r="G48" s="104"/>
      <c r="H48" s="91" t="s">
        <v>203</v>
      </c>
      <c r="I48" s="394" t="s">
        <v>207</v>
      </c>
      <c r="J48" s="75">
        <v>150000</v>
      </c>
      <c r="K48" s="76" t="s">
        <v>160</v>
      </c>
      <c r="L48" s="77">
        <v>12</v>
      </c>
      <c r="M48" s="76" t="s">
        <v>167</v>
      </c>
      <c r="N48" s="78"/>
      <c r="O48" s="76"/>
      <c r="P48" s="78" t="s">
        <v>0</v>
      </c>
      <c r="Q48" s="79">
        <f>ROUNDDOWN(J48*L48,-3)</f>
        <v>1800000</v>
      </c>
      <c r="R48" s="348"/>
      <c r="S48" s="456"/>
      <c r="T48" s="383">
        <f>SUMIF($I48,"보",$Q48)</f>
        <v>0</v>
      </c>
      <c r="U48" s="375">
        <f>SUMIF($I48,"수",$Q48)</f>
        <v>0</v>
      </c>
      <c r="V48" s="375">
        <f>SUMIF($I48,"잡",$Q48)</f>
        <v>1800000</v>
      </c>
      <c r="W48" s="375">
        <f>SUMIF($I48,"후(지)",$Q48)</f>
        <v>0</v>
      </c>
      <c r="X48" s="375">
        <f>SUMIF($I48,"후(비)",$Q48)</f>
        <v>0</v>
      </c>
      <c r="Y48" s="377">
        <f aca="true" t="shared" si="8" ref="Y48:Y80">SUM(T48:X48)-Q48</f>
        <v>0</v>
      </c>
      <c r="AA48" s="88"/>
      <c r="AB48" s="19"/>
      <c r="AC48" s="19"/>
    </row>
    <row r="49" spans="1:29" ht="17.25" customHeight="1">
      <c r="A49" s="62"/>
      <c r="B49" s="89"/>
      <c r="C49" s="112"/>
      <c r="D49" s="69"/>
      <c r="E49" s="72"/>
      <c r="F49" s="71"/>
      <c r="G49" s="73" t="s">
        <v>267</v>
      </c>
      <c r="H49" s="91" t="s">
        <v>189</v>
      </c>
      <c r="I49" s="395"/>
      <c r="J49" s="221"/>
      <c r="K49" s="76"/>
      <c r="L49" s="77"/>
      <c r="M49" s="76"/>
      <c r="N49" s="78"/>
      <c r="O49" s="76"/>
      <c r="P49" s="126"/>
      <c r="Q49" s="79"/>
      <c r="R49" s="355"/>
      <c r="S49" s="445">
        <f>SUM(T49:X50)</f>
        <v>6000000</v>
      </c>
      <c r="T49" s="386" t="str">
        <f>H49</f>
        <v>교육연수여비</v>
      </c>
      <c r="U49" s="378"/>
      <c r="V49" s="390"/>
      <c r="W49" s="390"/>
      <c r="X49" s="380"/>
      <c r="Y49" s="377">
        <f t="shared" si="8"/>
        <v>0</v>
      </c>
      <c r="AA49" s="88"/>
      <c r="AB49" s="19"/>
      <c r="AC49" s="19"/>
    </row>
    <row r="50" spans="1:29" ht="17.25" customHeight="1" thickBot="1">
      <c r="A50" s="283"/>
      <c r="B50" s="288"/>
      <c r="C50" s="289"/>
      <c r="D50" s="147"/>
      <c r="E50" s="148"/>
      <c r="F50" s="149"/>
      <c r="G50" s="290"/>
      <c r="H50" s="287" t="s">
        <v>189</v>
      </c>
      <c r="I50" s="403" t="s">
        <v>174</v>
      </c>
      <c r="J50" s="269">
        <v>500000</v>
      </c>
      <c r="K50" s="153" t="s">
        <v>160</v>
      </c>
      <c r="L50" s="271">
        <v>12</v>
      </c>
      <c r="M50" s="153" t="s">
        <v>167</v>
      </c>
      <c r="N50" s="152"/>
      <c r="O50" s="153"/>
      <c r="P50" s="152" t="s">
        <v>0</v>
      </c>
      <c r="Q50" s="154">
        <f>ROUNDDOWN(J50*L50,-3)</f>
        <v>6000000</v>
      </c>
      <c r="R50" s="348"/>
      <c r="S50" s="456"/>
      <c r="T50" s="383">
        <f>SUMIF($I50,"보",$Q50)</f>
        <v>6000000</v>
      </c>
      <c r="U50" s="375">
        <f>SUMIF($I50,"수",$Q50)</f>
        <v>0</v>
      </c>
      <c r="V50" s="375">
        <f>SUMIF($I50,"잡",$Q50)</f>
        <v>0</v>
      </c>
      <c r="W50" s="375">
        <f>SUMIF($I50,"후(지)",$Q50)</f>
        <v>0</v>
      </c>
      <c r="X50" s="375">
        <f>SUMIF($I50,"후(비)",$Q50)</f>
        <v>0</v>
      </c>
      <c r="Y50" s="377">
        <f t="shared" si="8"/>
        <v>0</v>
      </c>
      <c r="AA50" s="88"/>
      <c r="AB50" s="19"/>
      <c r="AC50" s="19"/>
    </row>
    <row r="51" spans="1:29" ht="18" customHeight="1">
      <c r="A51" s="62"/>
      <c r="B51" s="89"/>
      <c r="C51" s="112"/>
      <c r="D51" s="69"/>
      <c r="E51" s="69"/>
      <c r="F51" s="71"/>
      <c r="G51" s="73" t="s">
        <v>267</v>
      </c>
      <c r="H51" s="91" t="s">
        <v>275</v>
      </c>
      <c r="I51" s="395"/>
      <c r="J51" s="221"/>
      <c r="K51" s="76"/>
      <c r="L51" s="77"/>
      <c r="M51" s="76"/>
      <c r="N51" s="78"/>
      <c r="O51" s="76"/>
      <c r="P51" s="126"/>
      <c r="Q51" s="79"/>
      <c r="R51" s="355"/>
      <c r="S51" s="445">
        <f>SUM(T51:X52)</f>
        <v>1400000</v>
      </c>
      <c r="T51" s="386" t="str">
        <f>H51</f>
        <v>역량강화여비 </v>
      </c>
      <c r="U51" s="378"/>
      <c r="V51" s="390"/>
      <c r="W51" s="390"/>
      <c r="X51" s="380"/>
      <c r="Y51" s="377">
        <f t="shared" si="8"/>
        <v>0</v>
      </c>
      <c r="AA51" s="88"/>
      <c r="AB51" s="19"/>
      <c r="AC51" s="19"/>
    </row>
    <row r="52" spans="1:29" ht="18" customHeight="1">
      <c r="A52" s="62"/>
      <c r="B52" s="89"/>
      <c r="C52" s="112"/>
      <c r="D52" s="69"/>
      <c r="E52" s="72"/>
      <c r="F52" s="71"/>
      <c r="G52" s="104"/>
      <c r="H52" s="91" t="s">
        <v>261</v>
      </c>
      <c r="I52" s="394" t="s">
        <v>207</v>
      </c>
      <c r="J52" s="75">
        <v>700000</v>
      </c>
      <c r="K52" s="76" t="s">
        <v>160</v>
      </c>
      <c r="L52" s="77">
        <v>2</v>
      </c>
      <c r="M52" s="76" t="s">
        <v>169</v>
      </c>
      <c r="N52" s="78"/>
      <c r="O52" s="76"/>
      <c r="P52" s="78" t="s">
        <v>0</v>
      </c>
      <c r="Q52" s="79">
        <f>ROUNDDOWN(J52*L52,-3)</f>
        <v>1400000</v>
      </c>
      <c r="R52" s="348"/>
      <c r="S52" s="456"/>
      <c r="T52" s="383">
        <f>SUMIF($I52,"보",$Q52)</f>
        <v>0</v>
      </c>
      <c r="U52" s="375">
        <f>SUMIF($I52,"수",$Q52)</f>
        <v>0</v>
      </c>
      <c r="V52" s="375">
        <f>SUMIF($I52,"잡",$Q52)</f>
        <v>1400000</v>
      </c>
      <c r="W52" s="375">
        <f>SUMIF($I52,"후(지)",$Q52)</f>
        <v>0</v>
      </c>
      <c r="X52" s="375">
        <f>SUMIF($I52,"후(비)",$Q52)</f>
        <v>0</v>
      </c>
      <c r="Y52" s="377">
        <f t="shared" si="8"/>
        <v>0</v>
      </c>
      <c r="AA52" s="88"/>
      <c r="AB52" s="19"/>
      <c r="AC52" s="19"/>
    </row>
    <row r="53" spans="1:29" ht="18" customHeight="1">
      <c r="A53" s="62"/>
      <c r="B53" s="113"/>
      <c r="C53" s="111" t="s">
        <v>93</v>
      </c>
      <c r="D53" s="65">
        <v>31800</v>
      </c>
      <c r="E53" s="50">
        <f>SUM(T53:X79)*0.001</f>
        <v>33926</v>
      </c>
      <c r="F53" s="66">
        <f>E53-D53</f>
        <v>2126</v>
      </c>
      <c r="G53" s="335" t="s">
        <v>267</v>
      </c>
      <c r="H53" s="306" t="s">
        <v>276</v>
      </c>
      <c r="I53" s="393"/>
      <c r="J53" s="303"/>
      <c r="K53" s="106"/>
      <c r="L53" s="107"/>
      <c r="M53" s="106"/>
      <c r="N53" s="108"/>
      <c r="O53" s="106"/>
      <c r="P53" s="109"/>
      <c r="Q53" s="110"/>
      <c r="R53" s="355"/>
      <c r="S53" s="445">
        <f>SUM(T53:X60)</f>
        <v>10632000</v>
      </c>
      <c r="T53" s="386" t="str">
        <f>H53</f>
        <v>사무지원수수료</v>
      </c>
      <c r="U53" s="378"/>
      <c r="V53" s="390"/>
      <c r="W53" s="390"/>
      <c r="X53" s="380"/>
      <c r="Y53" s="377">
        <f t="shared" si="8"/>
        <v>0</v>
      </c>
      <c r="AA53" s="88"/>
      <c r="AB53" s="19"/>
      <c r="AC53" s="19"/>
    </row>
    <row r="54" spans="1:29" ht="18" customHeight="1">
      <c r="A54" s="62"/>
      <c r="B54" s="113"/>
      <c r="C54" s="112"/>
      <c r="D54" s="69"/>
      <c r="E54" s="70"/>
      <c r="F54" s="71"/>
      <c r="G54" s="104"/>
      <c r="H54" s="91" t="s">
        <v>239</v>
      </c>
      <c r="I54" s="394" t="s">
        <v>174</v>
      </c>
      <c r="J54" s="75">
        <v>308000</v>
      </c>
      <c r="K54" s="76" t="s">
        <v>160</v>
      </c>
      <c r="L54" s="77">
        <v>12</v>
      </c>
      <c r="M54" s="76" t="s">
        <v>167</v>
      </c>
      <c r="N54" s="78"/>
      <c r="O54" s="76"/>
      <c r="P54" s="78" t="s">
        <v>0</v>
      </c>
      <c r="Q54" s="79">
        <f aca="true" t="shared" si="9" ref="Q54:Q60">ROUNDDOWN(J54*L54,-3)</f>
        <v>3696000</v>
      </c>
      <c r="R54" s="348"/>
      <c r="S54" s="456"/>
      <c r="T54" s="383">
        <f aca="true" t="shared" si="10" ref="T54:T60">SUMIF($I54,"보",$Q54)</f>
        <v>3696000</v>
      </c>
      <c r="U54" s="375">
        <f aca="true" t="shared" si="11" ref="U54:U60">SUMIF($I54,"수",$Q54)</f>
        <v>0</v>
      </c>
      <c r="V54" s="375">
        <f aca="true" t="shared" si="12" ref="V54:V60">SUMIF($I54,"잡",$Q54)</f>
        <v>0</v>
      </c>
      <c r="W54" s="375">
        <f aca="true" t="shared" si="13" ref="W54:W60">SUMIF($I54,"후(지)",$Q54)</f>
        <v>0</v>
      </c>
      <c r="X54" s="375">
        <f aca="true" t="shared" si="14" ref="X54:X60">SUMIF($I54,"후(비)",$Q54)</f>
        <v>0</v>
      </c>
      <c r="Y54" s="377">
        <f t="shared" si="8"/>
        <v>0</v>
      </c>
      <c r="AA54" s="88"/>
      <c r="AB54" s="19"/>
      <c r="AC54" s="19"/>
    </row>
    <row r="55" spans="1:29" ht="18" customHeight="1">
      <c r="A55" s="62"/>
      <c r="B55" s="89"/>
      <c r="C55" s="112"/>
      <c r="D55" s="69"/>
      <c r="E55" s="69"/>
      <c r="F55" s="71"/>
      <c r="G55" s="104"/>
      <c r="H55" s="91" t="s">
        <v>191</v>
      </c>
      <c r="I55" s="394" t="s">
        <v>207</v>
      </c>
      <c r="J55" s="75">
        <v>276000</v>
      </c>
      <c r="K55" s="76" t="s">
        <v>160</v>
      </c>
      <c r="L55" s="77">
        <v>1</v>
      </c>
      <c r="M55" s="76" t="s">
        <v>169</v>
      </c>
      <c r="N55" s="78"/>
      <c r="O55" s="76"/>
      <c r="P55" s="78" t="s">
        <v>0</v>
      </c>
      <c r="Q55" s="79">
        <f>ROUNDDOWN(J55*L55,-3)</f>
        <v>276000</v>
      </c>
      <c r="R55" s="348"/>
      <c r="S55" s="456"/>
      <c r="T55" s="383">
        <f t="shared" si="10"/>
        <v>0</v>
      </c>
      <c r="U55" s="375">
        <f t="shared" si="11"/>
        <v>0</v>
      </c>
      <c r="V55" s="375">
        <f t="shared" si="12"/>
        <v>276000</v>
      </c>
      <c r="W55" s="375">
        <f t="shared" si="13"/>
        <v>0</v>
      </c>
      <c r="X55" s="375">
        <f t="shared" si="14"/>
        <v>0</v>
      </c>
      <c r="Y55" s="377">
        <f>SUM(T55:X55)-Q55</f>
        <v>0</v>
      </c>
      <c r="AA55" s="88"/>
      <c r="AB55" s="19"/>
      <c r="AC55" s="19"/>
    </row>
    <row r="56" spans="1:29" ht="17.25" customHeight="1">
      <c r="A56" s="62"/>
      <c r="B56" s="113"/>
      <c r="C56" s="112"/>
      <c r="D56" s="69"/>
      <c r="E56" s="72"/>
      <c r="F56" s="71"/>
      <c r="G56" s="104"/>
      <c r="H56" s="91" t="s">
        <v>192</v>
      </c>
      <c r="I56" s="394" t="s">
        <v>214</v>
      </c>
      <c r="J56" s="75">
        <v>1000000</v>
      </c>
      <c r="K56" s="76" t="s">
        <v>160</v>
      </c>
      <c r="L56" s="77">
        <v>1</v>
      </c>
      <c r="M56" s="76" t="s">
        <v>169</v>
      </c>
      <c r="N56" s="78"/>
      <c r="O56" s="76"/>
      <c r="P56" s="78" t="s">
        <v>0</v>
      </c>
      <c r="Q56" s="79">
        <f t="shared" si="9"/>
        <v>1000000</v>
      </c>
      <c r="R56" s="348"/>
      <c r="S56" s="456"/>
      <c r="T56" s="383">
        <f t="shared" si="10"/>
        <v>0</v>
      </c>
      <c r="U56" s="375">
        <f t="shared" si="11"/>
        <v>0</v>
      </c>
      <c r="V56" s="375">
        <f t="shared" si="12"/>
        <v>0</v>
      </c>
      <c r="W56" s="375">
        <f t="shared" si="13"/>
        <v>0</v>
      </c>
      <c r="X56" s="375">
        <f t="shared" si="14"/>
        <v>1000000</v>
      </c>
      <c r="Y56" s="377">
        <f t="shared" si="8"/>
        <v>0</v>
      </c>
      <c r="AA56" s="88"/>
      <c r="AB56" s="19"/>
      <c r="AC56" s="19"/>
    </row>
    <row r="57" spans="1:29" ht="17.25" customHeight="1">
      <c r="A57" s="62"/>
      <c r="B57" s="89"/>
      <c r="C57" s="112"/>
      <c r="D57" s="69"/>
      <c r="E57" s="69"/>
      <c r="F57" s="71"/>
      <c r="G57" s="104"/>
      <c r="H57" s="91" t="s">
        <v>245</v>
      </c>
      <c r="I57" s="394" t="s">
        <v>214</v>
      </c>
      <c r="J57" s="75">
        <v>500000</v>
      </c>
      <c r="K57" s="76" t="s">
        <v>160</v>
      </c>
      <c r="L57" s="77">
        <v>1</v>
      </c>
      <c r="M57" s="76" t="s">
        <v>170</v>
      </c>
      <c r="N57" s="78"/>
      <c r="O57" s="76"/>
      <c r="P57" s="78" t="s">
        <v>0</v>
      </c>
      <c r="Q57" s="79">
        <f t="shared" si="9"/>
        <v>500000</v>
      </c>
      <c r="R57" s="348"/>
      <c r="S57" s="456"/>
      <c r="T57" s="383">
        <f t="shared" si="10"/>
        <v>0</v>
      </c>
      <c r="U57" s="375">
        <f t="shared" si="11"/>
        <v>0</v>
      </c>
      <c r="V57" s="375">
        <f t="shared" si="12"/>
        <v>0</v>
      </c>
      <c r="W57" s="375">
        <f t="shared" si="13"/>
        <v>0</v>
      </c>
      <c r="X57" s="375">
        <f t="shared" si="14"/>
        <v>500000</v>
      </c>
      <c r="Y57" s="377">
        <f t="shared" si="8"/>
        <v>0</v>
      </c>
      <c r="AA57" s="88"/>
      <c r="AB57" s="19"/>
      <c r="AC57" s="19"/>
    </row>
    <row r="58" spans="1:29" ht="17.25" customHeight="1">
      <c r="A58" s="62"/>
      <c r="B58" s="89"/>
      <c r="C58" s="112"/>
      <c r="D58" s="69"/>
      <c r="E58" s="69"/>
      <c r="F58" s="71"/>
      <c r="G58" s="104"/>
      <c r="H58" s="91" t="s">
        <v>126</v>
      </c>
      <c r="I58" s="394" t="s">
        <v>214</v>
      </c>
      <c r="J58" s="75">
        <v>30000</v>
      </c>
      <c r="K58" s="76" t="s">
        <v>160</v>
      </c>
      <c r="L58" s="77">
        <v>12</v>
      </c>
      <c r="M58" s="76" t="s">
        <v>167</v>
      </c>
      <c r="N58" s="78"/>
      <c r="O58" s="76"/>
      <c r="P58" s="78" t="s">
        <v>0</v>
      </c>
      <c r="Q58" s="79">
        <f t="shared" si="9"/>
        <v>360000</v>
      </c>
      <c r="R58" s="348"/>
      <c r="S58" s="456"/>
      <c r="T58" s="383">
        <f t="shared" si="10"/>
        <v>0</v>
      </c>
      <c r="U58" s="375">
        <f t="shared" si="11"/>
        <v>0</v>
      </c>
      <c r="V58" s="375">
        <f t="shared" si="12"/>
        <v>0</v>
      </c>
      <c r="W58" s="375">
        <f t="shared" si="13"/>
        <v>0</v>
      </c>
      <c r="X58" s="375">
        <f t="shared" si="14"/>
        <v>360000</v>
      </c>
      <c r="Y58" s="377">
        <f t="shared" si="8"/>
        <v>0</v>
      </c>
      <c r="AA58" s="88"/>
      <c r="AB58" s="19"/>
      <c r="AC58" s="19"/>
    </row>
    <row r="59" spans="1:29" ht="17.25" customHeight="1">
      <c r="A59" s="62"/>
      <c r="B59" s="89"/>
      <c r="C59" s="112"/>
      <c r="D59" s="69"/>
      <c r="E59" s="69"/>
      <c r="F59" s="71"/>
      <c r="G59" s="104"/>
      <c r="H59" s="91" t="s">
        <v>329</v>
      </c>
      <c r="I59" s="394" t="s">
        <v>214</v>
      </c>
      <c r="J59" s="75">
        <v>100000</v>
      </c>
      <c r="K59" s="76" t="s">
        <v>160</v>
      </c>
      <c r="L59" s="77">
        <v>12</v>
      </c>
      <c r="M59" s="76" t="s">
        <v>167</v>
      </c>
      <c r="N59" s="78"/>
      <c r="O59" s="76"/>
      <c r="P59" s="78" t="s">
        <v>0</v>
      </c>
      <c r="Q59" s="79">
        <f>ROUNDDOWN(J59*L59,-3)</f>
        <v>1200000</v>
      </c>
      <c r="R59" s="348"/>
      <c r="S59" s="456"/>
      <c r="T59" s="383">
        <f t="shared" si="10"/>
        <v>0</v>
      </c>
      <c r="U59" s="375">
        <f t="shared" si="11"/>
        <v>0</v>
      </c>
      <c r="V59" s="375">
        <f t="shared" si="12"/>
        <v>0</v>
      </c>
      <c r="W59" s="375">
        <f t="shared" si="13"/>
        <v>0</v>
      </c>
      <c r="X59" s="375">
        <f t="shared" si="14"/>
        <v>1200000</v>
      </c>
      <c r="Y59" s="377">
        <f>SUM(T59:X59)-Q59</f>
        <v>0</v>
      </c>
      <c r="AA59" s="88"/>
      <c r="AB59" s="19"/>
      <c r="AC59" s="19"/>
    </row>
    <row r="60" spans="1:29" ht="17.25" customHeight="1">
      <c r="A60" s="62"/>
      <c r="B60" s="89"/>
      <c r="C60" s="112"/>
      <c r="D60" s="69"/>
      <c r="E60" s="69"/>
      <c r="F60" s="71"/>
      <c r="G60" s="104"/>
      <c r="H60" s="91" t="s">
        <v>322</v>
      </c>
      <c r="I60" s="394" t="s">
        <v>214</v>
      </c>
      <c r="J60" s="75">
        <v>300000</v>
      </c>
      <c r="K60" s="76" t="s">
        <v>160</v>
      </c>
      <c r="L60" s="77">
        <v>12</v>
      </c>
      <c r="M60" s="76" t="s">
        <v>167</v>
      </c>
      <c r="N60" s="78"/>
      <c r="O60" s="76"/>
      <c r="P60" s="78" t="s">
        <v>0</v>
      </c>
      <c r="Q60" s="79">
        <f t="shared" si="9"/>
        <v>3600000</v>
      </c>
      <c r="R60" s="358"/>
      <c r="S60" s="456"/>
      <c r="T60" s="383">
        <f t="shared" si="10"/>
        <v>0</v>
      </c>
      <c r="U60" s="375">
        <f t="shared" si="11"/>
        <v>0</v>
      </c>
      <c r="V60" s="375">
        <f t="shared" si="12"/>
        <v>0</v>
      </c>
      <c r="W60" s="375">
        <f t="shared" si="13"/>
        <v>0</v>
      </c>
      <c r="X60" s="375">
        <f t="shared" si="14"/>
        <v>3600000</v>
      </c>
      <c r="Y60" s="377">
        <f t="shared" si="8"/>
        <v>0</v>
      </c>
      <c r="AA60" s="88"/>
      <c r="AB60" s="19"/>
      <c r="AC60" s="19"/>
    </row>
    <row r="61" spans="1:29" ht="17.25" customHeight="1">
      <c r="A61" s="62"/>
      <c r="B61" s="113"/>
      <c r="C61" s="112"/>
      <c r="D61" s="69"/>
      <c r="E61" s="72"/>
      <c r="F61" s="71"/>
      <c r="G61" s="73" t="s">
        <v>267</v>
      </c>
      <c r="H61" s="91" t="s">
        <v>291</v>
      </c>
      <c r="I61" s="394"/>
      <c r="J61" s="75"/>
      <c r="K61" s="76"/>
      <c r="L61" s="77"/>
      <c r="M61" s="76"/>
      <c r="N61" s="78"/>
      <c r="O61" s="76"/>
      <c r="P61" s="78"/>
      <c r="Q61" s="79"/>
      <c r="R61" s="355"/>
      <c r="S61" s="445">
        <f>SUM(T61:X79)</f>
        <v>23294000</v>
      </c>
      <c r="T61" s="386" t="str">
        <f>H61</f>
        <v>관리용역수수료</v>
      </c>
      <c r="U61" s="378"/>
      <c r="V61" s="390"/>
      <c r="W61" s="390"/>
      <c r="X61" s="380"/>
      <c r="Y61" s="377">
        <f t="shared" si="8"/>
        <v>0</v>
      </c>
      <c r="AA61" s="88"/>
      <c r="AB61" s="19"/>
      <c r="AC61" s="19"/>
    </row>
    <row r="62" spans="1:29" ht="17.25" customHeight="1">
      <c r="A62" s="62"/>
      <c r="B62" s="89"/>
      <c r="C62" s="112"/>
      <c r="D62" s="69"/>
      <c r="E62" s="72"/>
      <c r="F62" s="71"/>
      <c r="G62" s="104"/>
      <c r="H62" s="114" t="s">
        <v>68</v>
      </c>
      <c r="I62" s="394" t="s">
        <v>174</v>
      </c>
      <c r="J62" s="75">
        <v>165000</v>
      </c>
      <c r="K62" s="76" t="s">
        <v>160</v>
      </c>
      <c r="L62" s="77">
        <v>12</v>
      </c>
      <c r="M62" s="76" t="s">
        <v>167</v>
      </c>
      <c r="N62" s="78"/>
      <c r="O62" s="76"/>
      <c r="P62" s="78" t="s">
        <v>0</v>
      </c>
      <c r="Q62" s="79">
        <f>ROUNDDOWN(J62*L62,-3)</f>
        <v>1980000</v>
      </c>
      <c r="R62" s="348"/>
      <c r="S62" s="456"/>
      <c r="T62" s="383">
        <f aca="true" t="shared" si="15" ref="T62:T79">SUMIF($I62,"보",$Q62)</f>
        <v>1980000</v>
      </c>
      <c r="U62" s="375">
        <f aca="true" t="shared" si="16" ref="U62:U79">SUMIF($I62,"수",$Q62)</f>
        <v>0</v>
      </c>
      <c r="V62" s="375">
        <f aca="true" t="shared" si="17" ref="V62:V79">SUMIF($I62,"잡",$Q62)</f>
        <v>0</v>
      </c>
      <c r="W62" s="375">
        <f aca="true" t="shared" si="18" ref="W62:W79">SUMIF($I62,"후(지)",$Q62)</f>
        <v>0</v>
      </c>
      <c r="X62" s="375">
        <f aca="true" t="shared" si="19" ref="X62:X79">SUMIF($I62,"후(비)",$Q62)</f>
        <v>0</v>
      </c>
      <c r="Y62" s="377">
        <f t="shared" si="8"/>
        <v>0</v>
      </c>
      <c r="AA62" s="88"/>
      <c r="AB62" s="19"/>
      <c r="AC62" s="19"/>
    </row>
    <row r="63" spans="1:29" ht="17.25" customHeight="1">
      <c r="A63" s="62"/>
      <c r="B63" s="89"/>
      <c r="C63" s="112"/>
      <c r="D63" s="69"/>
      <c r="E63" s="69"/>
      <c r="F63" s="71"/>
      <c r="G63" s="104"/>
      <c r="H63" s="114" t="s">
        <v>67</v>
      </c>
      <c r="I63" s="394" t="s">
        <v>174</v>
      </c>
      <c r="J63" s="75">
        <v>132000</v>
      </c>
      <c r="K63" s="76" t="s">
        <v>160</v>
      </c>
      <c r="L63" s="77">
        <v>12</v>
      </c>
      <c r="M63" s="76" t="s">
        <v>167</v>
      </c>
      <c r="N63" s="78"/>
      <c r="O63" s="76"/>
      <c r="P63" s="78" t="s">
        <v>0</v>
      </c>
      <c r="Q63" s="79">
        <f>ROUNDDOWN(J63*L63,-3)</f>
        <v>1584000</v>
      </c>
      <c r="R63" s="348"/>
      <c r="S63" s="456"/>
      <c r="T63" s="383">
        <f t="shared" si="15"/>
        <v>1584000</v>
      </c>
      <c r="U63" s="375">
        <f t="shared" si="16"/>
        <v>0</v>
      </c>
      <c r="V63" s="375">
        <f t="shared" si="17"/>
        <v>0</v>
      </c>
      <c r="W63" s="375">
        <f t="shared" si="18"/>
        <v>0</v>
      </c>
      <c r="X63" s="375">
        <f t="shared" si="19"/>
        <v>0</v>
      </c>
      <c r="Y63" s="377">
        <f t="shared" si="8"/>
        <v>0</v>
      </c>
      <c r="AA63" s="88"/>
      <c r="AB63" s="19"/>
      <c r="AC63" s="19"/>
    </row>
    <row r="64" spans="1:29" ht="17.25" customHeight="1">
      <c r="A64" s="62"/>
      <c r="B64" s="89"/>
      <c r="C64" s="112"/>
      <c r="D64" s="69"/>
      <c r="E64" s="69"/>
      <c r="F64" s="71"/>
      <c r="G64" s="104"/>
      <c r="H64" s="114" t="s">
        <v>234</v>
      </c>
      <c r="I64" s="394" t="s">
        <v>174</v>
      </c>
      <c r="J64" s="75">
        <v>195000</v>
      </c>
      <c r="K64" s="76" t="s">
        <v>160</v>
      </c>
      <c r="L64" s="77">
        <v>12</v>
      </c>
      <c r="M64" s="76" t="s">
        <v>167</v>
      </c>
      <c r="N64" s="78"/>
      <c r="O64" s="76"/>
      <c r="P64" s="78" t="s">
        <v>0</v>
      </c>
      <c r="Q64" s="79">
        <f>ROUNDDOWN(J64*L64,-3)</f>
        <v>2340000</v>
      </c>
      <c r="R64" s="348"/>
      <c r="S64" s="456"/>
      <c r="T64" s="383">
        <f t="shared" si="15"/>
        <v>2340000</v>
      </c>
      <c r="U64" s="375">
        <f t="shared" si="16"/>
        <v>0</v>
      </c>
      <c r="V64" s="375">
        <f t="shared" si="17"/>
        <v>0</v>
      </c>
      <c r="W64" s="375">
        <f t="shared" si="18"/>
        <v>0</v>
      </c>
      <c r="X64" s="375">
        <f t="shared" si="19"/>
        <v>0</v>
      </c>
      <c r="Y64" s="377">
        <f t="shared" si="8"/>
        <v>0</v>
      </c>
      <c r="AA64" s="88"/>
      <c r="AB64" s="19"/>
      <c r="AC64" s="19"/>
    </row>
    <row r="65" spans="1:29" ht="17.25" customHeight="1">
      <c r="A65" s="62"/>
      <c r="B65" s="89"/>
      <c r="C65" s="112"/>
      <c r="D65" s="69"/>
      <c r="E65" s="69"/>
      <c r="F65" s="71"/>
      <c r="G65" s="104"/>
      <c r="H65" s="91" t="s">
        <v>128</v>
      </c>
      <c r="I65" s="394" t="s">
        <v>174</v>
      </c>
      <c r="J65" s="75">
        <v>220000</v>
      </c>
      <c r="K65" s="76" t="s">
        <v>160</v>
      </c>
      <c r="L65" s="77">
        <v>12</v>
      </c>
      <c r="M65" s="76" t="s">
        <v>167</v>
      </c>
      <c r="N65" s="78"/>
      <c r="O65" s="76"/>
      <c r="P65" s="78" t="s">
        <v>0</v>
      </c>
      <c r="Q65" s="79">
        <f>ROUNDDOWN(J65*L65,-3)</f>
        <v>2640000</v>
      </c>
      <c r="R65" s="348"/>
      <c r="S65" s="456"/>
      <c r="T65" s="383">
        <f t="shared" si="15"/>
        <v>2640000</v>
      </c>
      <c r="U65" s="375">
        <f t="shared" si="16"/>
        <v>0</v>
      </c>
      <c r="V65" s="375">
        <f t="shared" si="17"/>
        <v>0</v>
      </c>
      <c r="W65" s="375">
        <f t="shared" si="18"/>
        <v>0</v>
      </c>
      <c r="X65" s="375">
        <f t="shared" si="19"/>
        <v>0</v>
      </c>
      <c r="Y65" s="377">
        <f t="shared" si="8"/>
        <v>0</v>
      </c>
      <c r="AA65" s="88"/>
      <c r="AB65" s="19"/>
      <c r="AC65" s="19"/>
    </row>
    <row r="66" spans="1:29" ht="17.25" customHeight="1">
      <c r="A66" s="62"/>
      <c r="B66" s="89"/>
      <c r="C66" s="112"/>
      <c r="D66" s="69"/>
      <c r="E66" s="69"/>
      <c r="F66" s="71"/>
      <c r="G66" s="104"/>
      <c r="H66" s="91" t="s">
        <v>190</v>
      </c>
      <c r="I66" s="394" t="s">
        <v>174</v>
      </c>
      <c r="J66" s="75">
        <v>145000</v>
      </c>
      <c r="K66" s="76" t="s">
        <v>160</v>
      </c>
      <c r="L66" s="77">
        <v>12</v>
      </c>
      <c r="M66" s="76" t="s">
        <v>167</v>
      </c>
      <c r="N66" s="78"/>
      <c r="O66" s="76"/>
      <c r="P66" s="78" t="s">
        <v>0</v>
      </c>
      <c r="Q66" s="79">
        <f>ROUNDDOWN(J66*L66,-3)</f>
        <v>1740000</v>
      </c>
      <c r="R66" s="348"/>
      <c r="S66" s="456"/>
      <c r="T66" s="383">
        <f t="shared" si="15"/>
        <v>1740000</v>
      </c>
      <c r="U66" s="375">
        <f t="shared" si="16"/>
        <v>0</v>
      </c>
      <c r="V66" s="375">
        <f t="shared" si="17"/>
        <v>0</v>
      </c>
      <c r="W66" s="375">
        <f t="shared" si="18"/>
        <v>0</v>
      </c>
      <c r="X66" s="375">
        <f t="shared" si="19"/>
        <v>0</v>
      </c>
      <c r="Y66" s="377">
        <f t="shared" si="8"/>
        <v>0</v>
      </c>
      <c r="AA66" s="88"/>
      <c r="AB66" s="19"/>
      <c r="AC66" s="19"/>
    </row>
    <row r="67" spans="1:29" ht="17.25" customHeight="1">
      <c r="A67" s="62"/>
      <c r="B67" s="89"/>
      <c r="C67" s="112"/>
      <c r="D67" s="69"/>
      <c r="E67" s="69"/>
      <c r="F67" s="71"/>
      <c r="G67" s="104"/>
      <c r="H67" s="91" t="s">
        <v>314</v>
      </c>
      <c r="I67" s="394" t="s">
        <v>174</v>
      </c>
      <c r="J67" s="75">
        <v>80000</v>
      </c>
      <c r="K67" s="76" t="s">
        <v>160</v>
      </c>
      <c r="L67" s="77">
        <v>12</v>
      </c>
      <c r="M67" s="76" t="s">
        <v>183</v>
      </c>
      <c r="N67" s="78">
        <v>1</v>
      </c>
      <c r="O67" s="76" t="s">
        <v>184</v>
      </c>
      <c r="P67" s="78" t="s">
        <v>0</v>
      </c>
      <c r="Q67" s="79">
        <f>ROUNDDOWN(J67*L67*N67,-3)</f>
        <v>960000</v>
      </c>
      <c r="R67" s="348"/>
      <c r="S67" s="456"/>
      <c r="T67" s="383">
        <f t="shared" si="15"/>
        <v>960000</v>
      </c>
      <c r="U67" s="375">
        <f t="shared" si="16"/>
        <v>0</v>
      </c>
      <c r="V67" s="375">
        <f t="shared" si="17"/>
        <v>0</v>
      </c>
      <c r="W67" s="375">
        <f t="shared" si="18"/>
        <v>0</v>
      </c>
      <c r="X67" s="375">
        <f t="shared" si="19"/>
        <v>0</v>
      </c>
      <c r="Y67" s="377">
        <f>SUM(T67:X67)-Q67</f>
        <v>0</v>
      </c>
      <c r="AA67" s="88"/>
      <c r="AB67" s="19"/>
      <c r="AC67" s="19"/>
    </row>
    <row r="68" spans="1:29" ht="17.25" customHeight="1">
      <c r="A68" s="62"/>
      <c r="B68" s="89"/>
      <c r="C68" s="112"/>
      <c r="D68" s="69"/>
      <c r="E68" s="69"/>
      <c r="F68" s="71"/>
      <c r="G68" s="104"/>
      <c r="H68" s="91" t="s">
        <v>235</v>
      </c>
      <c r="I68" s="394" t="s">
        <v>174</v>
      </c>
      <c r="J68" s="75">
        <v>44000</v>
      </c>
      <c r="K68" s="76" t="s">
        <v>160</v>
      </c>
      <c r="L68" s="77">
        <v>12</v>
      </c>
      <c r="M68" s="76" t="s">
        <v>183</v>
      </c>
      <c r="N68" s="78">
        <v>1</v>
      </c>
      <c r="O68" s="76" t="s">
        <v>184</v>
      </c>
      <c r="P68" s="78" t="s">
        <v>0</v>
      </c>
      <c r="Q68" s="79">
        <f>ROUNDDOWN(J68*L68*N68,-3)</f>
        <v>528000</v>
      </c>
      <c r="R68" s="348"/>
      <c r="S68" s="456"/>
      <c r="T68" s="383">
        <f t="shared" si="15"/>
        <v>528000</v>
      </c>
      <c r="U68" s="375">
        <f t="shared" si="16"/>
        <v>0</v>
      </c>
      <c r="V68" s="375">
        <f t="shared" si="17"/>
        <v>0</v>
      </c>
      <c r="W68" s="375">
        <f t="shared" si="18"/>
        <v>0</v>
      </c>
      <c r="X68" s="375">
        <f t="shared" si="19"/>
        <v>0</v>
      </c>
      <c r="Y68" s="377">
        <f t="shared" si="8"/>
        <v>0</v>
      </c>
      <c r="AA68" s="88"/>
      <c r="AB68" s="19"/>
      <c r="AC68" s="19"/>
    </row>
    <row r="69" spans="1:29" ht="17.25" customHeight="1">
      <c r="A69" s="62"/>
      <c r="B69" s="89"/>
      <c r="C69" s="112"/>
      <c r="D69" s="69"/>
      <c r="E69" s="69"/>
      <c r="F69" s="71"/>
      <c r="G69" s="104"/>
      <c r="H69" s="91" t="s">
        <v>313</v>
      </c>
      <c r="I69" s="394" t="s">
        <v>174</v>
      </c>
      <c r="J69" s="75">
        <v>17000</v>
      </c>
      <c r="K69" s="76" t="s">
        <v>160</v>
      </c>
      <c r="L69" s="77">
        <v>12</v>
      </c>
      <c r="M69" s="76" t="s">
        <v>183</v>
      </c>
      <c r="N69" s="78">
        <v>2</v>
      </c>
      <c r="O69" s="76" t="s">
        <v>184</v>
      </c>
      <c r="P69" s="78" t="s">
        <v>0</v>
      </c>
      <c r="Q69" s="79">
        <f>ROUNDDOWN(J69*L69*N69,-3)</f>
        <v>408000</v>
      </c>
      <c r="R69" s="348"/>
      <c r="S69" s="456"/>
      <c r="T69" s="383">
        <f t="shared" si="15"/>
        <v>408000</v>
      </c>
      <c r="U69" s="375">
        <f t="shared" si="16"/>
        <v>0</v>
      </c>
      <c r="V69" s="375">
        <f t="shared" si="17"/>
        <v>0</v>
      </c>
      <c r="W69" s="375">
        <f t="shared" si="18"/>
        <v>0</v>
      </c>
      <c r="X69" s="375">
        <f t="shared" si="19"/>
        <v>0</v>
      </c>
      <c r="Y69" s="377">
        <f t="shared" si="8"/>
        <v>0</v>
      </c>
      <c r="AA69" s="88"/>
      <c r="AB69" s="19"/>
      <c r="AC69" s="19"/>
    </row>
    <row r="70" spans="1:29" ht="17.25" customHeight="1">
      <c r="A70" s="62"/>
      <c r="B70" s="89"/>
      <c r="C70" s="112"/>
      <c r="D70" s="69"/>
      <c r="E70" s="69"/>
      <c r="F70" s="71"/>
      <c r="G70" s="104"/>
      <c r="H70" s="91" t="s">
        <v>121</v>
      </c>
      <c r="I70" s="394" t="s">
        <v>174</v>
      </c>
      <c r="J70" s="75">
        <v>180000</v>
      </c>
      <c r="K70" s="76" t="s">
        <v>160</v>
      </c>
      <c r="L70" s="77">
        <v>12</v>
      </c>
      <c r="M70" s="76" t="s">
        <v>167</v>
      </c>
      <c r="N70" s="78"/>
      <c r="O70" s="76"/>
      <c r="P70" s="78" t="s">
        <v>0</v>
      </c>
      <c r="Q70" s="79">
        <f aca="true" t="shared" si="20" ref="Q70:Q79">ROUNDDOWN(J70*L70,-3)</f>
        <v>2160000</v>
      </c>
      <c r="R70" s="348"/>
      <c r="S70" s="456"/>
      <c r="T70" s="383">
        <f t="shared" si="15"/>
        <v>2160000</v>
      </c>
      <c r="U70" s="375">
        <f t="shared" si="16"/>
        <v>0</v>
      </c>
      <c r="V70" s="375">
        <f t="shared" si="17"/>
        <v>0</v>
      </c>
      <c r="W70" s="375">
        <f t="shared" si="18"/>
        <v>0</v>
      </c>
      <c r="X70" s="375">
        <f t="shared" si="19"/>
        <v>0</v>
      </c>
      <c r="Y70" s="377">
        <f t="shared" si="8"/>
        <v>0</v>
      </c>
      <c r="AA70" s="88"/>
      <c r="AB70" s="19"/>
      <c r="AC70" s="19"/>
    </row>
    <row r="71" spans="1:29" ht="17.25" customHeight="1">
      <c r="A71" s="62"/>
      <c r="B71" s="89"/>
      <c r="C71" s="112"/>
      <c r="D71" s="69"/>
      <c r="E71" s="69"/>
      <c r="F71" s="71"/>
      <c r="G71" s="90"/>
      <c r="H71" s="91" t="s">
        <v>154</v>
      </c>
      <c r="I71" s="394" t="s">
        <v>174</v>
      </c>
      <c r="J71" s="75">
        <v>7000</v>
      </c>
      <c r="K71" s="76" t="s">
        <v>160</v>
      </c>
      <c r="L71" s="77">
        <v>12</v>
      </c>
      <c r="M71" s="76" t="s">
        <v>167</v>
      </c>
      <c r="N71" s="78"/>
      <c r="O71" s="76"/>
      <c r="P71" s="78" t="s">
        <v>0</v>
      </c>
      <c r="Q71" s="79">
        <f t="shared" si="20"/>
        <v>84000</v>
      </c>
      <c r="R71" s="348"/>
      <c r="S71" s="456"/>
      <c r="T71" s="383">
        <f t="shared" si="15"/>
        <v>84000</v>
      </c>
      <c r="U71" s="375">
        <f t="shared" si="16"/>
        <v>0</v>
      </c>
      <c r="V71" s="375">
        <f t="shared" si="17"/>
        <v>0</v>
      </c>
      <c r="W71" s="375">
        <f t="shared" si="18"/>
        <v>0</v>
      </c>
      <c r="X71" s="375">
        <f t="shared" si="19"/>
        <v>0</v>
      </c>
      <c r="Y71" s="377">
        <f t="shared" si="8"/>
        <v>0</v>
      </c>
      <c r="AA71" s="88"/>
      <c r="AB71" s="19"/>
      <c r="AC71" s="19"/>
    </row>
    <row r="72" spans="1:29" ht="18" customHeight="1">
      <c r="A72" s="62"/>
      <c r="B72" s="89"/>
      <c r="C72" s="112"/>
      <c r="D72" s="69"/>
      <c r="E72" s="69"/>
      <c r="F72" s="71"/>
      <c r="G72" s="90"/>
      <c r="H72" s="91" t="s">
        <v>231</v>
      </c>
      <c r="I72" s="394" t="s">
        <v>174</v>
      </c>
      <c r="J72" s="75">
        <v>550000</v>
      </c>
      <c r="K72" s="76" t="s">
        <v>160</v>
      </c>
      <c r="L72" s="77">
        <v>1</v>
      </c>
      <c r="M72" s="76" t="s">
        <v>169</v>
      </c>
      <c r="N72" s="78"/>
      <c r="O72" s="76"/>
      <c r="P72" s="78" t="s">
        <v>0</v>
      </c>
      <c r="Q72" s="79">
        <f t="shared" si="20"/>
        <v>550000</v>
      </c>
      <c r="R72" s="348"/>
      <c r="S72" s="456"/>
      <c r="T72" s="383">
        <f t="shared" si="15"/>
        <v>550000</v>
      </c>
      <c r="U72" s="375">
        <f t="shared" si="16"/>
        <v>0</v>
      </c>
      <c r="V72" s="375">
        <f t="shared" si="17"/>
        <v>0</v>
      </c>
      <c r="W72" s="375">
        <f t="shared" si="18"/>
        <v>0</v>
      </c>
      <c r="X72" s="375">
        <f t="shared" si="19"/>
        <v>0</v>
      </c>
      <c r="Y72" s="377">
        <f t="shared" si="8"/>
        <v>0</v>
      </c>
      <c r="AA72" s="88"/>
      <c r="AB72" s="19"/>
      <c r="AC72" s="19"/>
    </row>
    <row r="73" spans="1:29" ht="18" customHeight="1" thickBot="1">
      <c r="A73" s="283"/>
      <c r="B73" s="288"/>
      <c r="C73" s="289"/>
      <c r="D73" s="147"/>
      <c r="E73" s="147"/>
      <c r="F73" s="149"/>
      <c r="G73" s="290"/>
      <c r="H73" s="287" t="s">
        <v>66</v>
      </c>
      <c r="I73" s="403" t="s">
        <v>174</v>
      </c>
      <c r="J73" s="269">
        <v>510000</v>
      </c>
      <c r="K73" s="153" t="s">
        <v>160</v>
      </c>
      <c r="L73" s="271">
        <v>1</v>
      </c>
      <c r="M73" s="153" t="s">
        <v>169</v>
      </c>
      <c r="N73" s="152"/>
      <c r="O73" s="153"/>
      <c r="P73" s="152" t="s">
        <v>0</v>
      </c>
      <c r="Q73" s="154">
        <f t="shared" si="20"/>
        <v>510000</v>
      </c>
      <c r="R73" s="348"/>
      <c r="S73" s="456"/>
      <c r="T73" s="383">
        <f t="shared" si="15"/>
        <v>510000</v>
      </c>
      <c r="U73" s="375">
        <f t="shared" si="16"/>
        <v>0</v>
      </c>
      <c r="V73" s="375">
        <f t="shared" si="17"/>
        <v>0</v>
      </c>
      <c r="W73" s="375">
        <f t="shared" si="18"/>
        <v>0</v>
      </c>
      <c r="X73" s="375">
        <f t="shared" si="19"/>
        <v>0</v>
      </c>
      <c r="Y73" s="377">
        <f t="shared" si="8"/>
        <v>0</v>
      </c>
      <c r="AA73" s="88"/>
      <c r="AB73" s="19"/>
      <c r="AC73" s="19"/>
    </row>
    <row r="74" spans="1:29" ht="18" customHeight="1">
      <c r="A74" s="62"/>
      <c r="B74" s="89"/>
      <c r="C74" s="112"/>
      <c r="D74" s="69"/>
      <c r="E74" s="69"/>
      <c r="F74" s="71"/>
      <c r="G74" s="90"/>
      <c r="H74" s="91" t="s">
        <v>120</v>
      </c>
      <c r="I74" s="394" t="s">
        <v>207</v>
      </c>
      <c r="J74" s="75">
        <v>120000</v>
      </c>
      <c r="K74" s="76" t="s">
        <v>160</v>
      </c>
      <c r="L74" s="77">
        <v>12</v>
      </c>
      <c r="M74" s="76" t="s">
        <v>167</v>
      </c>
      <c r="N74" s="78"/>
      <c r="O74" s="76"/>
      <c r="P74" s="78" t="s">
        <v>0</v>
      </c>
      <c r="Q74" s="79">
        <f t="shared" si="20"/>
        <v>1440000</v>
      </c>
      <c r="R74" s="348"/>
      <c r="S74" s="456"/>
      <c r="T74" s="383">
        <f t="shared" si="15"/>
        <v>0</v>
      </c>
      <c r="U74" s="375">
        <f t="shared" si="16"/>
        <v>0</v>
      </c>
      <c r="V74" s="375">
        <f t="shared" si="17"/>
        <v>1440000</v>
      </c>
      <c r="W74" s="375">
        <f t="shared" si="18"/>
        <v>0</v>
      </c>
      <c r="X74" s="375">
        <f t="shared" si="19"/>
        <v>0</v>
      </c>
      <c r="Y74" s="377">
        <f t="shared" si="8"/>
        <v>0</v>
      </c>
      <c r="AA74" s="88"/>
      <c r="AB74" s="19"/>
      <c r="AC74" s="19"/>
    </row>
    <row r="75" spans="1:29" ht="18" customHeight="1">
      <c r="A75" s="62"/>
      <c r="B75" s="89"/>
      <c r="C75" s="112"/>
      <c r="D75" s="69"/>
      <c r="E75" s="72"/>
      <c r="F75" s="71"/>
      <c r="G75" s="90"/>
      <c r="H75" s="91" t="s">
        <v>158</v>
      </c>
      <c r="I75" s="394" t="s">
        <v>207</v>
      </c>
      <c r="J75" s="75">
        <v>360000</v>
      </c>
      <c r="K75" s="76" t="s">
        <v>160</v>
      </c>
      <c r="L75" s="77">
        <v>2</v>
      </c>
      <c r="M75" s="76" t="s">
        <v>172</v>
      </c>
      <c r="N75" s="78"/>
      <c r="O75" s="76"/>
      <c r="P75" s="78" t="s">
        <v>0</v>
      </c>
      <c r="Q75" s="79">
        <f t="shared" si="20"/>
        <v>720000</v>
      </c>
      <c r="R75" s="348"/>
      <c r="S75" s="456"/>
      <c r="T75" s="383">
        <f t="shared" si="15"/>
        <v>0</v>
      </c>
      <c r="U75" s="375">
        <f t="shared" si="16"/>
        <v>0</v>
      </c>
      <c r="V75" s="375">
        <f t="shared" si="17"/>
        <v>720000</v>
      </c>
      <c r="W75" s="375">
        <f t="shared" si="18"/>
        <v>0</v>
      </c>
      <c r="X75" s="375">
        <f t="shared" si="19"/>
        <v>0</v>
      </c>
      <c r="Y75" s="377">
        <f t="shared" si="8"/>
        <v>0</v>
      </c>
      <c r="AA75" s="88"/>
      <c r="AB75" s="19"/>
      <c r="AC75" s="19"/>
    </row>
    <row r="76" spans="1:29" ht="18" customHeight="1">
      <c r="A76" s="62"/>
      <c r="B76" s="89"/>
      <c r="C76" s="112"/>
      <c r="D76" s="69"/>
      <c r="E76" s="72"/>
      <c r="F76" s="71"/>
      <c r="G76" s="90"/>
      <c r="H76" s="91" t="s">
        <v>236</v>
      </c>
      <c r="I76" s="394" t="s">
        <v>207</v>
      </c>
      <c r="J76" s="75">
        <v>50000</v>
      </c>
      <c r="K76" s="76" t="s">
        <v>160</v>
      </c>
      <c r="L76" s="77">
        <v>1</v>
      </c>
      <c r="M76" s="76" t="s">
        <v>169</v>
      </c>
      <c r="N76" s="78"/>
      <c r="O76" s="76"/>
      <c r="P76" s="78" t="s">
        <v>0</v>
      </c>
      <c r="Q76" s="79">
        <f>ROUNDDOWN(J76*L76,-3)</f>
        <v>50000</v>
      </c>
      <c r="R76" s="348"/>
      <c r="S76" s="456"/>
      <c r="T76" s="383">
        <f t="shared" si="15"/>
        <v>0</v>
      </c>
      <c r="U76" s="375">
        <f t="shared" si="16"/>
        <v>0</v>
      </c>
      <c r="V76" s="375">
        <f t="shared" si="17"/>
        <v>50000</v>
      </c>
      <c r="W76" s="375">
        <f t="shared" si="18"/>
        <v>0</v>
      </c>
      <c r="X76" s="375">
        <f t="shared" si="19"/>
        <v>0</v>
      </c>
      <c r="Y76" s="377">
        <f t="shared" si="8"/>
        <v>0</v>
      </c>
      <c r="AA76" s="88"/>
      <c r="AB76" s="19"/>
      <c r="AC76" s="19"/>
    </row>
    <row r="77" spans="1:29" ht="18" customHeight="1">
      <c r="A77" s="62"/>
      <c r="B77" s="89"/>
      <c r="C77" s="112"/>
      <c r="D77" s="69"/>
      <c r="E77" s="69"/>
      <c r="F77" s="71"/>
      <c r="G77" s="104"/>
      <c r="H77" s="91" t="s">
        <v>225</v>
      </c>
      <c r="I77" s="394" t="s">
        <v>207</v>
      </c>
      <c r="J77" s="75">
        <v>2000000</v>
      </c>
      <c r="K77" s="76" t="s">
        <v>160</v>
      </c>
      <c r="L77" s="77">
        <v>1</v>
      </c>
      <c r="M77" s="76" t="s">
        <v>169</v>
      </c>
      <c r="N77" s="78"/>
      <c r="O77" s="76"/>
      <c r="P77" s="78" t="s">
        <v>0</v>
      </c>
      <c r="Q77" s="79">
        <f t="shared" si="20"/>
        <v>2000000</v>
      </c>
      <c r="R77" s="348"/>
      <c r="S77" s="456"/>
      <c r="T77" s="383">
        <f t="shared" si="15"/>
        <v>0</v>
      </c>
      <c r="U77" s="375">
        <f t="shared" si="16"/>
        <v>0</v>
      </c>
      <c r="V77" s="375">
        <f t="shared" si="17"/>
        <v>2000000</v>
      </c>
      <c r="W77" s="375">
        <f t="shared" si="18"/>
        <v>0</v>
      </c>
      <c r="X77" s="375">
        <f t="shared" si="19"/>
        <v>0</v>
      </c>
      <c r="Y77" s="377">
        <f t="shared" si="8"/>
        <v>0</v>
      </c>
      <c r="AA77" s="88"/>
      <c r="AB77" s="19"/>
      <c r="AC77" s="19"/>
    </row>
    <row r="78" spans="1:29" ht="18" customHeight="1">
      <c r="A78" s="62"/>
      <c r="B78" s="89"/>
      <c r="C78" s="112"/>
      <c r="D78" s="69"/>
      <c r="E78" s="69"/>
      <c r="F78" s="71"/>
      <c r="G78" s="104"/>
      <c r="H78" s="91" t="s">
        <v>232</v>
      </c>
      <c r="I78" s="394" t="s">
        <v>214</v>
      </c>
      <c r="J78" s="75">
        <v>3000000</v>
      </c>
      <c r="K78" s="76" t="s">
        <v>160</v>
      </c>
      <c r="L78" s="77">
        <v>1</v>
      </c>
      <c r="M78" s="76" t="s">
        <v>169</v>
      </c>
      <c r="N78" s="78"/>
      <c r="O78" s="76"/>
      <c r="P78" s="78" t="s">
        <v>0</v>
      </c>
      <c r="Q78" s="79">
        <f>ROUNDDOWN(J78*L78,-3)</f>
        <v>3000000</v>
      </c>
      <c r="R78" s="348"/>
      <c r="S78" s="456"/>
      <c r="T78" s="383">
        <f t="shared" si="15"/>
        <v>0</v>
      </c>
      <c r="U78" s="375">
        <f t="shared" si="16"/>
        <v>0</v>
      </c>
      <c r="V78" s="375">
        <f t="shared" si="17"/>
        <v>0</v>
      </c>
      <c r="W78" s="375">
        <f t="shared" si="18"/>
        <v>0</v>
      </c>
      <c r="X78" s="375">
        <f t="shared" si="19"/>
        <v>3000000</v>
      </c>
      <c r="Y78" s="377">
        <f t="shared" si="8"/>
        <v>0</v>
      </c>
      <c r="AA78" s="88"/>
      <c r="AB78" s="19"/>
      <c r="AC78" s="19"/>
    </row>
    <row r="79" spans="1:29" ht="18" customHeight="1">
      <c r="A79" s="62"/>
      <c r="B79" s="89"/>
      <c r="C79" s="112"/>
      <c r="D79" s="69"/>
      <c r="E79" s="69"/>
      <c r="F79" s="71"/>
      <c r="G79" s="90"/>
      <c r="H79" s="91" t="s">
        <v>226</v>
      </c>
      <c r="I79" s="394" t="s">
        <v>214</v>
      </c>
      <c r="J79" s="75">
        <v>50000</v>
      </c>
      <c r="K79" s="76" t="s">
        <v>160</v>
      </c>
      <c r="L79" s="77">
        <v>12</v>
      </c>
      <c r="M79" s="76" t="s">
        <v>167</v>
      </c>
      <c r="N79" s="78"/>
      <c r="O79" s="76"/>
      <c r="P79" s="78" t="s">
        <v>0</v>
      </c>
      <c r="Q79" s="79">
        <f t="shared" si="20"/>
        <v>600000</v>
      </c>
      <c r="R79" s="358"/>
      <c r="S79" s="456"/>
      <c r="T79" s="383">
        <f t="shared" si="15"/>
        <v>0</v>
      </c>
      <c r="U79" s="375">
        <f t="shared" si="16"/>
        <v>0</v>
      </c>
      <c r="V79" s="375">
        <f t="shared" si="17"/>
        <v>0</v>
      </c>
      <c r="W79" s="375">
        <f t="shared" si="18"/>
        <v>0</v>
      </c>
      <c r="X79" s="375">
        <f t="shared" si="19"/>
        <v>600000</v>
      </c>
      <c r="Y79" s="377">
        <f t="shared" si="8"/>
        <v>0</v>
      </c>
      <c r="AA79" s="88"/>
      <c r="AB79" s="19"/>
      <c r="AC79" s="19"/>
    </row>
    <row r="80" spans="1:29" ht="18" customHeight="1">
      <c r="A80" s="62"/>
      <c r="B80" s="89"/>
      <c r="C80" s="111" t="s">
        <v>69</v>
      </c>
      <c r="D80" s="65">
        <v>43740</v>
      </c>
      <c r="E80" s="50">
        <f>SUM(T80:X89)*0.001</f>
        <v>39192</v>
      </c>
      <c r="F80" s="66">
        <f>E80-D80</f>
        <v>-4548</v>
      </c>
      <c r="G80" s="335" t="s">
        <v>267</v>
      </c>
      <c r="H80" s="306" t="s">
        <v>277</v>
      </c>
      <c r="I80" s="393"/>
      <c r="J80" s="303"/>
      <c r="K80" s="106"/>
      <c r="L80" s="107"/>
      <c r="M80" s="106"/>
      <c r="N80" s="108"/>
      <c r="O80" s="106"/>
      <c r="P80" s="109"/>
      <c r="Q80" s="110"/>
      <c r="R80" s="355"/>
      <c r="S80" s="445">
        <f>SUM(T80:X89)</f>
        <v>39192000</v>
      </c>
      <c r="T80" s="386" t="str">
        <f>H80</f>
        <v>공공요금</v>
      </c>
      <c r="U80" s="378"/>
      <c r="V80" s="390"/>
      <c r="W80" s="390"/>
      <c r="X80" s="380"/>
      <c r="Y80" s="377">
        <f t="shared" si="8"/>
        <v>0</v>
      </c>
      <c r="AA80" s="88"/>
      <c r="AB80" s="19"/>
      <c r="AC80" s="19"/>
    </row>
    <row r="81" spans="1:29" ht="18" customHeight="1">
      <c r="A81" s="62"/>
      <c r="B81" s="89"/>
      <c r="C81" s="112"/>
      <c r="D81" s="69"/>
      <c r="E81" s="70"/>
      <c r="F81" s="71"/>
      <c r="G81" s="90"/>
      <c r="H81" s="91" t="s">
        <v>315</v>
      </c>
      <c r="I81" s="394" t="s">
        <v>174</v>
      </c>
      <c r="J81" s="75">
        <v>11000</v>
      </c>
      <c r="K81" s="76" t="s">
        <v>160</v>
      </c>
      <c r="L81" s="77">
        <v>12</v>
      </c>
      <c r="M81" s="76" t="s">
        <v>167</v>
      </c>
      <c r="N81" s="78"/>
      <c r="O81" s="76"/>
      <c r="P81" s="78" t="s">
        <v>0</v>
      </c>
      <c r="Q81" s="79">
        <f aca="true" t="shared" si="21" ref="Q81:Q89">ROUNDDOWN(J81*L81,-3)</f>
        <v>132000</v>
      </c>
      <c r="R81" s="348"/>
      <c r="S81" s="456"/>
      <c r="T81" s="383">
        <f aca="true" t="shared" si="22" ref="T81:T89">SUMIF($I81,"보",$Q81)</f>
        <v>132000</v>
      </c>
      <c r="U81" s="375">
        <f aca="true" t="shared" si="23" ref="U81:U89">SUMIF($I81,"수",$Q81)</f>
        <v>0</v>
      </c>
      <c r="V81" s="375">
        <f aca="true" t="shared" si="24" ref="V81:V89">SUMIF($I81,"잡",$Q81)</f>
        <v>0</v>
      </c>
      <c r="W81" s="375">
        <f aca="true" t="shared" si="25" ref="W81:W89">SUMIF($I81,"후(지)",$Q81)</f>
        <v>0</v>
      </c>
      <c r="X81" s="375">
        <f aca="true" t="shared" si="26" ref="X81:X89">SUMIF($I81,"후(비)",$Q81)</f>
        <v>0</v>
      </c>
      <c r="Y81" s="377">
        <f aca="true" t="shared" si="27" ref="Y81:Y114">SUM(T80:X80)-Q80</f>
        <v>0</v>
      </c>
      <c r="AA81" s="88"/>
      <c r="AB81" s="19"/>
      <c r="AC81" s="19"/>
    </row>
    <row r="82" spans="1:29" ht="18" customHeight="1">
      <c r="A82" s="62"/>
      <c r="B82" s="89"/>
      <c r="C82" s="112"/>
      <c r="D82" s="69"/>
      <c r="E82" s="70"/>
      <c r="F82" s="71"/>
      <c r="G82" s="90"/>
      <c r="H82" s="91" t="s">
        <v>316</v>
      </c>
      <c r="I82" s="394" t="s">
        <v>174</v>
      </c>
      <c r="J82" s="75">
        <v>75000</v>
      </c>
      <c r="K82" s="76" t="s">
        <v>160</v>
      </c>
      <c r="L82" s="77">
        <v>12</v>
      </c>
      <c r="M82" s="76" t="s">
        <v>167</v>
      </c>
      <c r="N82" s="78"/>
      <c r="O82" s="76"/>
      <c r="P82" s="78" t="s">
        <v>0</v>
      </c>
      <c r="Q82" s="79">
        <f>ROUNDDOWN(J82*L82,-3)</f>
        <v>900000</v>
      </c>
      <c r="R82" s="348"/>
      <c r="S82" s="456"/>
      <c r="T82" s="383">
        <f t="shared" si="22"/>
        <v>900000</v>
      </c>
      <c r="U82" s="375">
        <f t="shared" si="23"/>
        <v>0</v>
      </c>
      <c r="V82" s="375">
        <f t="shared" si="24"/>
        <v>0</v>
      </c>
      <c r="W82" s="375">
        <f t="shared" si="25"/>
        <v>0</v>
      </c>
      <c r="X82" s="375">
        <f t="shared" si="26"/>
        <v>0</v>
      </c>
      <c r="Y82" s="377">
        <f>SUM(T81:X81)-Q81</f>
        <v>0</v>
      </c>
      <c r="AA82" s="88"/>
      <c r="AB82" s="19"/>
      <c r="AC82" s="19"/>
    </row>
    <row r="83" spans="1:29" ht="18" customHeight="1">
      <c r="A83" s="62"/>
      <c r="B83" s="89"/>
      <c r="C83" s="112"/>
      <c r="D83" s="69"/>
      <c r="E83" s="72"/>
      <c r="F83" s="71"/>
      <c r="G83" s="90"/>
      <c r="H83" s="91" t="s">
        <v>70</v>
      </c>
      <c r="I83" s="394" t="s">
        <v>174</v>
      </c>
      <c r="J83" s="75">
        <v>1800000</v>
      </c>
      <c r="K83" s="76" t="s">
        <v>160</v>
      </c>
      <c r="L83" s="77">
        <v>12</v>
      </c>
      <c r="M83" s="76" t="s">
        <v>167</v>
      </c>
      <c r="N83" s="78"/>
      <c r="O83" s="76"/>
      <c r="P83" s="78" t="s">
        <v>0</v>
      </c>
      <c r="Q83" s="79">
        <f>ROUNDDOWN(J83*L83,-3)</f>
        <v>21600000</v>
      </c>
      <c r="R83" s="348"/>
      <c r="S83" s="456"/>
      <c r="T83" s="383">
        <f t="shared" si="22"/>
        <v>21600000</v>
      </c>
      <c r="U83" s="375">
        <f t="shared" si="23"/>
        <v>0</v>
      </c>
      <c r="V83" s="375">
        <f t="shared" si="24"/>
        <v>0</v>
      </c>
      <c r="W83" s="375">
        <f t="shared" si="25"/>
        <v>0</v>
      </c>
      <c r="X83" s="375">
        <f t="shared" si="26"/>
        <v>0</v>
      </c>
      <c r="Y83" s="377">
        <f>SUM(T81:X81)-Q81</f>
        <v>0</v>
      </c>
      <c r="AA83" s="88"/>
      <c r="AB83" s="19"/>
      <c r="AC83" s="19"/>
    </row>
    <row r="84" spans="1:29" ht="18" customHeight="1">
      <c r="A84" s="62"/>
      <c r="B84" s="89"/>
      <c r="C84" s="112"/>
      <c r="D84" s="69"/>
      <c r="E84" s="69"/>
      <c r="F84" s="71"/>
      <c r="G84" s="90"/>
      <c r="H84" s="91" t="s">
        <v>317</v>
      </c>
      <c r="I84" s="394" t="s">
        <v>174</v>
      </c>
      <c r="J84" s="75">
        <v>240000</v>
      </c>
      <c r="K84" s="76" t="s">
        <v>160</v>
      </c>
      <c r="L84" s="77">
        <v>12</v>
      </c>
      <c r="M84" s="76" t="s">
        <v>167</v>
      </c>
      <c r="N84" s="78"/>
      <c r="O84" s="76"/>
      <c r="P84" s="78" t="s">
        <v>0</v>
      </c>
      <c r="Q84" s="79">
        <f>ROUNDDOWN(J84*L84,-3)</f>
        <v>2880000</v>
      </c>
      <c r="R84" s="348"/>
      <c r="S84" s="456"/>
      <c r="T84" s="383">
        <f t="shared" si="22"/>
        <v>2880000</v>
      </c>
      <c r="U84" s="375">
        <f t="shared" si="23"/>
        <v>0</v>
      </c>
      <c r="V84" s="375">
        <f t="shared" si="24"/>
        <v>0</v>
      </c>
      <c r="W84" s="375">
        <f t="shared" si="25"/>
        <v>0</v>
      </c>
      <c r="X84" s="375">
        <f t="shared" si="26"/>
        <v>0</v>
      </c>
      <c r="Y84" s="377">
        <f t="shared" si="27"/>
        <v>0</v>
      </c>
      <c r="AA84" s="88"/>
      <c r="AB84" s="19"/>
      <c r="AC84" s="19"/>
    </row>
    <row r="85" spans="1:29" ht="18" customHeight="1">
      <c r="A85" s="62"/>
      <c r="B85" s="89"/>
      <c r="C85" s="112"/>
      <c r="D85" s="69"/>
      <c r="E85" s="69"/>
      <c r="F85" s="71"/>
      <c r="G85" s="90"/>
      <c r="H85" s="91" t="s">
        <v>72</v>
      </c>
      <c r="I85" s="394" t="s">
        <v>174</v>
      </c>
      <c r="J85" s="75">
        <v>500000</v>
      </c>
      <c r="K85" s="76" t="s">
        <v>160</v>
      </c>
      <c r="L85" s="77">
        <v>12</v>
      </c>
      <c r="M85" s="76" t="s">
        <v>167</v>
      </c>
      <c r="N85" s="78"/>
      <c r="O85" s="76"/>
      <c r="P85" s="78" t="s">
        <v>0</v>
      </c>
      <c r="Q85" s="79">
        <f>ROUNDDOWN(J85*L85,-3)</f>
        <v>6000000</v>
      </c>
      <c r="R85" s="348"/>
      <c r="S85" s="456"/>
      <c r="T85" s="383">
        <f t="shared" si="22"/>
        <v>6000000</v>
      </c>
      <c r="U85" s="375">
        <f t="shared" si="23"/>
        <v>0</v>
      </c>
      <c r="V85" s="375">
        <f t="shared" si="24"/>
        <v>0</v>
      </c>
      <c r="W85" s="375">
        <f t="shared" si="25"/>
        <v>0</v>
      </c>
      <c r="X85" s="375">
        <f t="shared" si="26"/>
        <v>0</v>
      </c>
      <c r="Y85" s="377">
        <f t="shared" si="27"/>
        <v>0</v>
      </c>
      <c r="AA85" s="88"/>
      <c r="AB85" s="19"/>
      <c r="AC85" s="19"/>
    </row>
    <row r="86" spans="1:29" ht="18" customHeight="1">
      <c r="A86" s="62"/>
      <c r="B86" s="89"/>
      <c r="C86" s="112"/>
      <c r="D86" s="69"/>
      <c r="E86" s="69"/>
      <c r="F86" s="71"/>
      <c r="G86" s="90"/>
      <c r="H86" s="91" t="s">
        <v>227</v>
      </c>
      <c r="I86" s="394" t="s">
        <v>174</v>
      </c>
      <c r="J86" s="75">
        <v>130000</v>
      </c>
      <c r="K86" s="76" t="s">
        <v>160</v>
      </c>
      <c r="L86" s="77">
        <v>12</v>
      </c>
      <c r="M86" s="76" t="s">
        <v>167</v>
      </c>
      <c r="N86" s="78"/>
      <c r="O86" s="76"/>
      <c r="P86" s="78" t="s">
        <v>0</v>
      </c>
      <c r="Q86" s="79">
        <f>ROUNDDOWN(J86*L86,-3)</f>
        <v>1560000</v>
      </c>
      <c r="R86" s="348"/>
      <c r="S86" s="456"/>
      <c r="T86" s="383">
        <f t="shared" si="22"/>
        <v>1560000</v>
      </c>
      <c r="U86" s="375">
        <f t="shared" si="23"/>
        <v>0</v>
      </c>
      <c r="V86" s="375">
        <f t="shared" si="24"/>
        <v>0</v>
      </c>
      <c r="W86" s="375">
        <f t="shared" si="25"/>
        <v>0</v>
      </c>
      <c r="X86" s="375">
        <f t="shared" si="26"/>
        <v>0</v>
      </c>
      <c r="Y86" s="377">
        <f t="shared" si="27"/>
        <v>0</v>
      </c>
      <c r="AA86" s="88"/>
      <c r="AB86" s="19"/>
      <c r="AC86" s="19"/>
    </row>
    <row r="87" spans="1:29" ht="18" customHeight="1">
      <c r="A87" s="62"/>
      <c r="B87" s="89"/>
      <c r="C87" s="112"/>
      <c r="D87" s="69"/>
      <c r="E87" s="69"/>
      <c r="F87" s="71"/>
      <c r="G87" s="90"/>
      <c r="H87" s="91" t="s">
        <v>71</v>
      </c>
      <c r="I87" s="394" t="s">
        <v>174</v>
      </c>
      <c r="J87" s="75">
        <v>35000</v>
      </c>
      <c r="K87" s="76" t="s">
        <v>160</v>
      </c>
      <c r="L87" s="77">
        <v>12</v>
      </c>
      <c r="M87" s="76" t="s">
        <v>167</v>
      </c>
      <c r="N87" s="78"/>
      <c r="O87" s="76"/>
      <c r="P87" s="78" t="s">
        <v>0</v>
      </c>
      <c r="Q87" s="79">
        <f t="shared" si="21"/>
        <v>420000</v>
      </c>
      <c r="R87" s="348"/>
      <c r="S87" s="456"/>
      <c r="T87" s="383">
        <f t="shared" si="22"/>
        <v>420000</v>
      </c>
      <c r="U87" s="375">
        <f t="shared" si="23"/>
        <v>0</v>
      </c>
      <c r="V87" s="375">
        <f t="shared" si="24"/>
        <v>0</v>
      </c>
      <c r="W87" s="375">
        <f t="shared" si="25"/>
        <v>0</v>
      </c>
      <c r="X87" s="375">
        <f t="shared" si="26"/>
        <v>0</v>
      </c>
      <c r="Y87" s="377">
        <f t="shared" si="27"/>
        <v>0</v>
      </c>
      <c r="AA87" s="88"/>
      <c r="AB87" s="19"/>
      <c r="AC87" s="19"/>
    </row>
    <row r="88" spans="1:29" ht="18" customHeight="1">
      <c r="A88" s="62"/>
      <c r="B88" s="89"/>
      <c r="C88" s="112"/>
      <c r="D88" s="69"/>
      <c r="E88" s="69"/>
      <c r="F88" s="71"/>
      <c r="G88" s="90"/>
      <c r="H88" s="91" t="s">
        <v>37</v>
      </c>
      <c r="I88" s="394" t="s">
        <v>117</v>
      </c>
      <c r="J88" s="75">
        <f>세입!J23</f>
        <v>1500000</v>
      </c>
      <c r="K88" s="76" t="s">
        <v>160</v>
      </c>
      <c r="L88" s="77">
        <v>1</v>
      </c>
      <c r="M88" s="76" t="s">
        <v>169</v>
      </c>
      <c r="N88" s="78"/>
      <c r="O88" s="76"/>
      <c r="P88" s="78" t="s">
        <v>0</v>
      </c>
      <c r="Q88" s="79">
        <f t="shared" si="21"/>
        <v>1500000</v>
      </c>
      <c r="R88" s="348"/>
      <c r="S88" s="456"/>
      <c r="T88" s="383">
        <f t="shared" si="22"/>
        <v>1500000</v>
      </c>
      <c r="U88" s="375">
        <f t="shared" si="23"/>
        <v>0</v>
      </c>
      <c r="V88" s="375">
        <f t="shared" si="24"/>
        <v>0</v>
      </c>
      <c r="W88" s="375">
        <f t="shared" si="25"/>
        <v>0</v>
      </c>
      <c r="X88" s="375">
        <f t="shared" si="26"/>
        <v>0</v>
      </c>
      <c r="Y88" s="377">
        <f t="shared" si="27"/>
        <v>0</v>
      </c>
      <c r="AA88" s="88"/>
      <c r="AB88" s="19"/>
      <c r="AC88" s="19"/>
    </row>
    <row r="89" spans="1:29" ht="18" customHeight="1">
      <c r="A89" s="62"/>
      <c r="B89" s="89"/>
      <c r="C89" s="112"/>
      <c r="D89" s="69"/>
      <c r="E89" s="69"/>
      <c r="F89" s="71"/>
      <c r="G89" s="115"/>
      <c r="H89" s="91" t="s">
        <v>119</v>
      </c>
      <c r="I89" s="394" t="s">
        <v>214</v>
      </c>
      <c r="J89" s="75">
        <v>350000</v>
      </c>
      <c r="K89" s="76" t="s">
        <v>160</v>
      </c>
      <c r="L89" s="77">
        <v>12</v>
      </c>
      <c r="M89" s="76" t="s">
        <v>167</v>
      </c>
      <c r="N89" s="78"/>
      <c r="O89" s="76"/>
      <c r="P89" s="78" t="s">
        <v>0</v>
      </c>
      <c r="Q89" s="79">
        <f t="shared" si="21"/>
        <v>4200000</v>
      </c>
      <c r="R89" s="358"/>
      <c r="S89" s="456"/>
      <c r="T89" s="383">
        <f t="shared" si="22"/>
        <v>0</v>
      </c>
      <c r="U89" s="375">
        <f t="shared" si="23"/>
        <v>0</v>
      </c>
      <c r="V89" s="375">
        <f t="shared" si="24"/>
        <v>0</v>
      </c>
      <c r="W89" s="375">
        <f t="shared" si="25"/>
        <v>0</v>
      </c>
      <c r="X89" s="375">
        <f t="shared" si="26"/>
        <v>4200000</v>
      </c>
      <c r="Y89" s="377">
        <f t="shared" si="27"/>
        <v>0</v>
      </c>
      <c r="AA89" s="88"/>
      <c r="AB89" s="19"/>
      <c r="AC89" s="19"/>
    </row>
    <row r="90" spans="1:29" ht="18.75" customHeight="1">
      <c r="A90" s="62"/>
      <c r="B90" s="113"/>
      <c r="C90" s="111" t="s">
        <v>73</v>
      </c>
      <c r="D90" s="65">
        <v>5550</v>
      </c>
      <c r="E90" s="50">
        <f>SUM(T90:X104)*0.001</f>
        <v>5285</v>
      </c>
      <c r="F90" s="66">
        <f>E90-D90</f>
        <v>-265</v>
      </c>
      <c r="G90" s="335" t="s">
        <v>267</v>
      </c>
      <c r="H90" s="306" t="s">
        <v>278</v>
      </c>
      <c r="I90" s="393"/>
      <c r="J90" s="303"/>
      <c r="K90" s="106"/>
      <c r="L90" s="107"/>
      <c r="M90" s="106"/>
      <c r="N90" s="108"/>
      <c r="O90" s="106"/>
      <c r="P90" s="109"/>
      <c r="Q90" s="110"/>
      <c r="R90" s="355"/>
      <c r="S90" s="445">
        <f>SUM(T90:X104)</f>
        <v>5285000</v>
      </c>
      <c r="T90" s="386" t="str">
        <f>H90</f>
        <v>제세공과금</v>
      </c>
      <c r="U90" s="378"/>
      <c r="V90" s="390"/>
      <c r="W90" s="390"/>
      <c r="X90" s="380"/>
      <c r="Y90" s="377">
        <f t="shared" si="27"/>
        <v>0</v>
      </c>
      <c r="AA90" s="116"/>
      <c r="AB90" s="19"/>
      <c r="AC90" s="19"/>
    </row>
    <row r="91" spans="1:29" ht="18.75" customHeight="1">
      <c r="A91" s="62"/>
      <c r="B91" s="89"/>
      <c r="C91" s="112"/>
      <c r="D91" s="69"/>
      <c r="E91" s="70"/>
      <c r="F91" s="71"/>
      <c r="G91" s="104"/>
      <c r="H91" s="91" t="s">
        <v>118</v>
      </c>
      <c r="I91" s="394" t="s">
        <v>174</v>
      </c>
      <c r="J91" s="75">
        <v>50000</v>
      </c>
      <c r="K91" s="76" t="s">
        <v>160</v>
      </c>
      <c r="L91" s="77">
        <v>4</v>
      </c>
      <c r="M91" s="76" t="s">
        <v>165</v>
      </c>
      <c r="N91" s="78"/>
      <c r="O91" s="76"/>
      <c r="P91" s="78" t="s">
        <v>0</v>
      </c>
      <c r="Q91" s="79">
        <f aca="true" t="shared" si="28" ref="Q91:Q98">ROUNDDOWN(J91*L91,-3)</f>
        <v>200000</v>
      </c>
      <c r="R91" s="348"/>
      <c r="S91" s="456"/>
      <c r="T91" s="383">
        <f aca="true" t="shared" si="29" ref="T91:T104">SUMIF($I91,"보",$Q91)</f>
        <v>200000</v>
      </c>
      <c r="U91" s="375">
        <f aca="true" t="shared" si="30" ref="U91:U104">SUMIF($I91,"수",$Q91)</f>
        <v>0</v>
      </c>
      <c r="V91" s="375">
        <f aca="true" t="shared" si="31" ref="V91:V104">SUMIF($I91,"잡",$Q91)</f>
        <v>0</v>
      </c>
      <c r="W91" s="375">
        <f aca="true" t="shared" si="32" ref="W91:W104">SUMIF($I91,"후(지)",$Q91)</f>
        <v>0</v>
      </c>
      <c r="X91" s="375">
        <f aca="true" t="shared" si="33" ref="X91:X104">SUMIF($I91,"후(비)",$Q91)</f>
        <v>0</v>
      </c>
      <c r="Y91" s="377">
        <f t="shared" si="27"/>
        <v>0</v>
      </c>
      <c r="AA91" s="88"/>
      <c r="AB91" s="19"/>
      <c r="AC91" s="19"/>
    </row>
    <row r="92" spans="1:29" ht="18.75" customHeight="1">
      <c r="A92" s="62"/>
      <c r="B92" s="89"/>
      <c r="C92" s="112"/>
      <c r="D92" s="69"/>
      <c r="E92" s="69"/>
      <c r="F92" s="71"/>
      <c r="G92" s="90"/>
      <c r="H92" s="91" t="s">
        <v>74</v>
      </c>
      <c r="I92" s="394" t="s">
        <v>174</v>
      </c>
      <c r="J92" s="75">
        <v>350000</v>
      </c>
      <c r="K92" s="76" t="s">
        <v>160</v>
      </c>
      <c r="L92" s="77">
        <v>1</v>
      </c>
      <c r="M92" s="76" t="s">
        <v>169</v>
      </c>
      <c r="N92" s="78"/>
      <c r="O92" s="76"/>
      <c r="P92" s="78" t="s">
        <v>0</v>
      </c>
      <c r="Q92" s="79">
        <f t="shared" si="28"/>
        <v>350000</v>
      </c>
      <c r="R92" s="348"/>
      <c r="S92" s="456"/>
      <c r="T92" s="383">
        <f t="shared" si="29"/>
        <v>350000</v>
      </c>
      <c r="U92" s="375">
        <f t="shared" si="30"/>
        <v>0</v>
      </c>
      <c r="V92" s="375">
        <f t="shared" si="31"/>
        <v>0</v>
      </c>
      <c r="W92" s="375">
        <f t="shared" si="32"/>
        <v>0</v>
      </c>
      <c r="X92" s="375">
        <f t="shared" si="33"/>
        <v>0</v>
      </c>
      <c r="Y92" s="377">
        <f t="shared" si="27"/>
        <v>0</v>
      </c>
      <c r="AA92" s="88"/>
      <c r="AB92" s="19"/>
      <c r="AC92" s="19"/>
    </row>
    <row r="93" spans="1:29" ht="18.75" customHeight="1">
      <c r="A93" s="62"/>
      <c r="B93" s="89"/>
      <c r="C93" s="112"/>
      <c r="D93" s="69"/>
      <c r="E93" s="69"/>
      <c r="F93" s="71"/>
      <c r="G93" s="90"/>
      <c r="H93" s="91" t="s">
        <v>75</v>
      </c>
      <c r="I93" s="394" t="s">
        <v>174</v>
      </c>
      <c r="J93" s="75">
        <v>250000</v>
      </c>
      <c r="K93" s="76" t="s">
        <v>160</v>
      </c>
      <c r="L93" s="77">
        <v>1</v>
      </c>
      <c r="M93" s="76" t="s">
        <v>169</v>
      </c>
      <c r="N93" s="78"/>
      <c r="O93" s="76"/>
      <c r="P93" s="78" t="s">
        <v>0</v>
      </c>
      <c r="Q93" s="79">
        <f t="shared" si="28"/>
        <v>250000</v>
      </c>
      <c r="R93" s="348"/>
      <c r="S93" s="456"/>
      <c r="T93" s="383">
        <f t="shared" si="29"/>
        <v>250000</v>
      </c>
      <c r="U93" s="375">
        <f t="shared" si="30"/>
        <v>0</v>
      </c>
      <c r="V93" s="375">
        <f t="shared" si="31"/>
        <v>0</v>
      </c>
      <c r="W93" s="375">
        <f t="shared" si="32"/>
        <v>0</v>
      </c>
      <c r="X93" s="375">
        <f t="shared" si="33"/>
        <v>0</v>
      </c>
      <c r="Y93" s="377">
        <f t="shared" si="27"/>
        <v>0</v>
      </c>
      <c r="AA93" s="88"/>
      <c r="AB93" s="19"/>
      <c r="AC93" s="19"/>
    </row>
    <row r="94" spans="1:29" ht="18.75" customHeight="1">
      <c r="A94" s="62"/>
      <c r="B94" s="113"/>
      <c r="C94" s="112"/>
      <c r="D94" s="69"/>
      <c r="E94" s="69"/>
      <c r="F94" s="71"/>
      <c r="G94" s="90"/>
      <c r="H94" s="91" t="s">
        <v>76</v>
      </c>
      <c r="I94" s="394" t="s">
        <v>174</v>
      </c>
      <c r="J94" s="75">
        <v>20000</v>
      </c>
      <c r="K94" s="76" t="s">
        <v>160</v>
      </c>
      <c r="L94" s="77">
        <v>1</v>
      </c>
      <c r="M94" s="76" t="s">
        <v>169</v>
      </c>
      <c r="N94" s="78"/>
      <c r="O94" s="76"/>
      <c r="P94" s="78" t="s">
        <v>0</v>
      </c>
      <c r="Q94" s="79">
        <f t="shared" si="28"/>
        <v>20000</v>
      </c>
      <c r="R94" s="348"/>
      <c r="S94" s="456"/>
      <c r="T94" s="383">
        <f t="shared" si="29"/>
        <v>20000</v>
      </c>
      <c r="U94" s="375">
        <f t="shared" si="30"/>
        <v>0</v>
      </c>
      <c r="V94" s="375">
        <f t="shared" si="31"/>
        <v>0</v>
      </c>
      <c r="W94" s="375">
        <f t="shared" si="32"/>
        <v>0</v>
      </c>
      <c r="X94" s="375">
        <f t="shared" si="33"/>
        <v>0</v>
      </c>
      <c r="Y94" s="377">
        <f t="shared" si="27"/>
        <v>0</v>
      </c>
      <c r="AA94" s="88"/>
      <c r="AB94" s="19"/>
      <c r="AC94" s="19"/>
    </row>
    <row r="95" spans="1:29" ht="18.75" customHeight="1" thickBot="1">
      <c r="A95" s="283"/>
      <c r="B95" s="288"/>
      <c r="C95" s="289"/>
      <c r="D95" s="147"/>
      <c r="E95" s="147"/>
      <c r="F95" s="149"/>
      <c r="G95" s="291"/>
      <c r="H95" s="287" t="s">
        <v>138</v>
      </c>
      <c r="I95" s="403" t="s">
        <v>174</v>
      </c>
      <c r="J95" s="269">
        <v>250000</v>
      </c>
      <c r="K95" s="153" t="s">
        <v>160</v>
      </c>
      <c r="L95" s="271">
        <v>2</v>
      </c>
      <c r="M95" s="153" t="s">
        <v>169</v>
      </c>
      <c r="N95" s="152"/>
      <c r="O95" s="153"/>
      <c r="P95" s="152" t="s">
        <v>0</v>
      </c>
      <c r="Q95" s="154">
        <f t="shared" si="28"/>
        <v>500000</v>
      </c>
      <c r="R95" s="348"/>
      <c r="S95" s="456"/>
      <c r="T95" s="383">
        <f t="shared" si="29"/>
        <v>500000</v>
      </c>
      <c r="U95" s="375">
        <f t="shared" si="30"/>
        <v>0</v>
      </c>
      <c r="V95" s="375">
        <f t="shared" si="31"/>
        <v>0</v>
      </c>
      <c r="W95" s="375">
        <f t="shared" si="32"/>
        <v>0</v>
      </c>
      <c r="X95" s="375">
        <f t="shared" si="33"/>
        <v>0</v>
      </c>
      <c r="Y95" s="377">
        <f t="shared" si="27"/>
        <v>0</v>
      </c>
      <c r="AA95" s="88"/>
      <c r="AB95" s="19"/>
      <c r="AC95" s="19"/>
    </row>
    <row r="96" spans="1:29" ht="18" customHeight="1">
      <c r="A96" s="62"/>
      <c r="B96" s="89"/>
      <c r="C96" s="112"/>
      <c r="D96" s="69"/>
      <c r="E96" s="69"/>
      <c r="F96" s="71"/>
      <c r="G96" s="90"/>
      <c r="H96" s="91" t="s">
        <v>77</v>
      </c>
      <c r="I96" s="394" t="s">
        <v>174</v>
      </c>
      <c r="J96" s="75">
        <v>760000</v>
      </c>
      <c r="K96" s="76" t="s">
        <v>160</v>
      </c>
      <c r="L96" s="77">
        <v>3</v>
      </c>
      <c r="M96" s="76" t="s">
        <v>184</v>
      </c>
      <c r="N96" s="78"/>
      <c r="O96" s="76"/>
      <c r="P96" s="78" t="s">
        <v>0</v>
      </c>
      <c r="Q96" s="79">
        <f t="shared" si="28"/>
        <v>2280000</v>
      </c>
      <c r="R96" s="348"/>
      <c r="S96" s="456"/>
      <c r="T96" s="383">
        <f t="shared" si="29"/>
        <v>2280000</v>
      </c>
      <c r="U96" s="375">
        <f t="shared" si="30"/>
        <v>0</v>
      </c>
      <c r="V96" s="375">
        <f t="shared" si="31"/>
        <v>0</v>
      </c>
      <c r="W96" s="375">
        <f t="shared" si="32"/>
        <v>0</v>
      </c>
      <c r="X96" s="375">
        <f t="shared" si="33"/>
        <v>0</v>
      </c>
      <c r="Y96" s="377">
        <f t="shared" si="27"/>
        <v>0</v>
      </c>
      <c r="AA96" s="88"/>
      <c r="AB96" s="19"/>
      <c r="AC96" s="19"/>
    </row>
    <row r="97" spans="1:29" ht="18" customHeight="1">
      <c r="A97" s="62"/>
      <c r="B97" s="89"/>
      <c r="C97" s="112"/>
      <c r="D97" s="69"/>
      <c r="E97" s="69"/>
      <c r="F97" s="71"/>
      <c r="G97" s="90"/>
      <c r="H97" s="91" t="s">
        <v>79</v>
      </c>
      <c r="I97" s="394" t="s">
        <v>174</v>
      </c>
      <c r="J97" s="75">
        <v>72000</v>
      </c>
      <c r="K97" s="76" t="s">
        <v>160</v>
      </c>
      <c r="L97" s="77">
        <v>3</v>
      </c>
      <c r="M97" s="76" t="s">
        <v>184</v>
      </c>
      <c r="N97" s="78"/>
      <c r="O97" s="76"/>
      <c r="P97" s="78" t="s">
        <v>0</v>
      </c>
      <c r="Q97" s="79">
        <f t="shared" si="28"/>
        <v>216000</v>
      </c>
      <c r="R97" s="348"/>
      <c r="S97" s="456"/>
      <c r="T97" s="383">
        <f t="shared" si="29"/>
        <v>216000</v>
      </c>
      <c r="U97" s="375">
        <f t="shared" si="30"/>
        <v>0</v>
      </c>
      <c r="V97" s="375">
        <f t="shared" si="31"/>
        <v>0</v>
      </c>
      <c r="W97" s="375">
        <f t="shared" si="32"/>
        <v>0</v>
      </c>
      <c r="X97" s="375">
        <f t="shared" si="33"/>
        <v>0</v>
      </c>
      <c r="Y97" s="377">
        <f t="shared" si="27"/>
        <v>0</v>
      </c>
      <c r="AA97" s="88"/>
      <c r="AB97" s="19"/>
      <c r="AC97" s="19"/>
    </row>
    <row r="98" spans="1:29" ht="18" customHeight="1">
      <c r="A98" s="62"/>
      <c r="B98" s="89"/>
      <c r="C98" s="112"/>
      <c r="D98" s="69"/>
      <c r="E98" s="69"/>
      <c r="F98" s="71"/>
      <c r="G98" s="90"/>
      <c r="H98" s="91" t="s">
        <v>124</v>
      </c>
      <c r="I98" s="394" t="s">
        <v>174</v>
      </c>
      <c r="J98" s="75">
        <v>53000</v>
      </c>
      <c r="K98" s="76" t="s">
        <v>160</v>
      </c>
      <c r="L98" s="77">
        <v>3</v>
      </c>
      <c r="M98" s="76" t="s">
        <v>184</v>
      </c>
      <c r="N98" s="78"/>
      <c r="O98" s="76"/>
      <c r="P98" s="78" t="s">
        <v>0</v>
      </c>
      <c r="Q98" s="79">
        <f t="shared" si="28"/>
        <v>159000</v>
      </c>
      <c r="R98" s="348"/>
      <c r="S98" s="456"/>
      <c r="T98" s="383">
        <f t="shared" si="29"/>
        <v>159000</v>
      </c>
      <c r="U98" s="375">
        <f t="shared" si="30"/>
        <v>0</v>
      </c>
      <c r="V98" s="375">
        <f t="shared" si="31"/>
        <v>0</v>
      </c>
      <c r="W98" s="375">
        <f t="shared" si="32"/>
        <v>0</v>
      </c>
      <c r="X98" s="375">
        <f t="shared" si="33"/>
        <v>0</v>
      </c>
      <c r="Y98" s="377">
        <f t="shared" si="27"/>
        <v>0</v>
      </c>
      <c r="AA98" s="88"/>
      <c r="AB98" s="19"/>
      <c r="AC98" s="19"/>
    </row>
    <row r="99" spans="1:29" ht="18" customHeight="1">
      <c r="A99" s="62"/>
      <c r="B99" s="89"/>
      <c r="C99" s="112"/>
      <c r="D99" s="69"/>
      <c r="E99" s="69"/>
      <c r="F99" s="71"/>
      <c r="G99" s="90"/>
      <c r="H99" s="91" t="s">
        <v>122</v>
      </c>
      <c r="I99" s="394" t="s">
        <v>174</v>
      </c>
      <c r="J99" s="75">
        <v>15000</v>
      </c>
      <c r="K99" s="76" t="s">
        <v>160</v>
      </c>
      <c r="L99" s="77">
        <v>3</v>
      </c>
      <c r="M99" s="76" t="s">
        <v>185</v>
      </c>
      <c r="N99" s="78">
        <v>2</v>
      </c>
      <c r="O99" s="76" t="s">
        <v>169</v>
      </c>
      <c r="P99" s="78" t="s">
        <v>0</v>
      </c>
      <c r="Q99" s="79">
        <f>ROUNDDOWN(J99*L99*N99,-3)</f>
        <v>90000</v>
      </c>
      <c r="R99" s="348"/>
      <c r="S99" s="456"/>
      <c r="T99" s="383">
        <f t="shared" si="29"/>
        <v>90000</v>
      </c>
      <c r="U99" s="375">
        <f t="shared" si="30"/>
        <v>0</v>
      </c>
      <c r="V99" s="375">
        <f t="shared" si="31"/>
        <v>0</v>
      </c>
      <c r="W99" s="375">
        <f t="shared" si="32"/>
        <v>0</v>
      </c>
      <c r="X99" s="375">
        <f t="shared" si="33"/>
        <v>0</v>
      </c>
      <c r="Y99" s="377">
        <f t="shared" si="27"/>
        <v>0</v>
      </c>
      <c r="AA99" s="88"/>
      <c r="AB99" s="19"/>
      <c r="AC99" s="19"/>
    </row>
    <row r="100" spans="1:29" ht="18" customHeight="1">
      <c r="A100" s="62"/>
      <c r="B100" s="89"/>
      <c r="C100" s="112"/>
      <c r="D100" s="69"/>
      <c r="E100" s="69"/>
      <c r="F100" s="71"/>
      <c r="G100" s="90"/>
      <c r="H100" s="91" t="s">
        <v>123</v>
      </c>
      <c r="I100" s="394" t="s">
        <v>174</v>
      </c>
      <c r="J100" s="75">
        <v>130000</v>
      </c>
      <c r="K100" s="76" t="s">
        <v>160</v>
      </c>
      <c r="L100" s="77">
        <v>2</v>
      </c>
      <c r="M100" s="76" t="s">
        <v>169</v>
      </c>
      <c r="N100" s="78"/>
      <c r="O100" s="76"/>
      <c r="P100" s="78" t="s">
        <v>0</v>
      </c>
      <c r="Q100" s="79">
        <f>ROUNDDOWN(J100*L100,-3)</f>
        <v>260000</v>
      </c>
      <c r="R100" s="348"/>
      <c r="S100" s="456"/>
      <c r="T100" s="383">
        <f t="shared" si="29"/>
        <v>260000</v>
      </c>
      <c r="U100" s="375">
        <f t="shared" si="30"/>
        <v>0</v>
      </c>
      <c r="V100" s="375">
        <f t="shared" si="31"/>
        <v>0</v>
      </c>
      <c r="W100" s="375">
        <f t="shared" si="32"/>
        <v>0</v>
      </c>
      <c r="X100" s="375">
        <f t="shared" si="33"/>
        <v>0</v>
      </c>
      <c r="Y100" s="377">
        <f t="shared" si="27"/>
        <v>0</v>
      </c>
      <c r="AA100" s="88"/>
      <c r="AB100" s="19"/>
      <c r="AC100" s="19"/>
    </row>
    <row r="101" spans="1:29" ht="18" customHeight="1">
      <c r="A101" s="62"/>
      <c r="B101" s="89"/>
      <c r="C101" s="112"/>
      <c r="D101" s="69"/>
      <c r="E101" s="69"/>
      <c r="F101" s="71"/>
      <c r="G101" s="90"/>
      <c r="H101" s="91" t="s">
        <v>238</v>
      </c>
      <c r="I101" s="394" t="s">
        <v>174</v>
      </c>
      <c r="J101" s="75">
        <v>250000</v>
      </c>
      <c r="K101" s="76" t="s">
        <v>160</v>
      </c>
      <c r="L101" s="77">
        <v>1</v>
      </c>
      <c r="M101" s="76" t="s">
        <v>169</v>
      </c>
      <c r="N101" s="78"/>
      <c r="O101" s="76"/>
      <c r="P101" s="78" t="s">
        <v>0</v>
      </c>
      <c r="Q101" s="79">
        <f>ROUNDDOWN(J101*L101,-3)</f>
        <v>250000</v>
      </c>
      <c r="R101" s="348"/>
      <c r="S101" s="456"/>
      <c r="T101" s="383">
        <f t="shared" si="29"/>
        <v>250000</v>
      </c>
      <c r="U101" s="375">
        <f t="shared" si="30"/>
        <v>0</v>
      </c>
      <c r="V101" s="375">
        <f t="shared" si="31"/>
        <v>0</v>
      </c>
      <c r="W101" s="375">
        <f t="shared" si="32"/>
        <v>0</v>
      </c>
      <c r="X101" s="375">
        <f t="shared" si="33"/>
        <v>0</v>
      </c>
      <c r="Y101" s="377">
        <f t="shared" si="27"/>
        <v>0</v>
      </c>
      <c r="AA101" s="88"/>
      <c r="AB101" s="19"/>
      <c r="AC101" s="19"/>
    </row>
    <row r="102" spans="1:29" ht="18" customHeight="1">
      <c r="A102" s="62"/>
      <c r="B102" s="89"/>
      <c r="C102" s="112"/>
      <c r="D102" s="69"/>
      <c r="E102" s="69"/>
      <c r="F102" s="71"/>
      <c r="G102" s="90"/>
      <c r="H102" s="91" t="s">
        <v>237</v>
      </c>
      <c r="I102" s="394" t="s">
        <v>174</v>
      </c>
      <c r="J102" s="75">
        <v>100000</v>
      </c>
      <c r="K102" s="76" t="s">
        <v>160</v>
      </c>
      <c r="L102" s="77">
        <v>1</v>
      </c>
      <c r="M102" s="76" t="s">
        <v>169</v>
      </c>
      <c r="N102" s="78"/>
      <c r="O102" s="76"/>
      <c r="P102" s="78" t="s">
        <v>0</v>
      </c>
      <c r="Q102" s="79">
        <f>ROUNDDOWN(J102*L102,-3)</f>
        <v>100000</v>
      </c>
      <c r="R102" s="348"/>
      <c r="S102" s="456"/>
      <c r="T102" s="383">
        <f t="shared" si="29"/>
        <v>100000</v>
      </c>
      <c r="U102" s="375">
        <f t="shared" si="30"/>
        <v>0</v>
      </c>
      <c r="V102" s="375">
        <f t="shared" si="31"/>
        <v>0</v>
      </c>
      <c r="W102" s="375">
        <f t="shared" si="32"/>
        <v>0</v>
      </c>
      <c r="X102" s="375">
        <f t="shared" si="33"/>
        <v>0</v>
      </c>
      <c r="Y102" s="377">
        <f t="shared" si="27"/>
        <v>0</v>
      </c>
      <c r="AA102" s="88"/>
      <c r="AB102" s="19"/>
      <c r="AC102" s="19"/>
    </row>
    <row r="103" spans="1:29" ht="18" customHeight="1">
      <c r="A103" s="62"/>
      <c r="B103" s="89"/>
      <c r="C103" s="112"/>
      <c r="D103" s="69"/>
      <c r="E103" s="69"/>
      <c r="F103" s="71"/>
      <c r="G103" s="90"/>
      <c r="H103" s="91" t="s">
        <v>78</v>
      </c>
      <c r="I103" s="394" t="s">
        <v>174</v>
      </c>
      <c r="J103" s="75">
        <v>10000</v>
      </c>
      <c r="K103" s="76" t="s">
        <v>160</v>
      </c>
      <c r="L103" s="77">
        <v>1</v>
      </c>
      <c r="M103" s="76" t="s">
        <v>169</v>
      </c>
      <c r="N103" s="78"/>
      <c r="O103" s="76"/>
      <c r="P103" s="78" t="s">
        <v>0</v>
      </c>
      <c r="Q103" s="79">
        <f>ROUNDDOWN(J103*L103,-3)</f>
        <v>10000</v>
      </c>
      <c r="R103" s="348"/>
      <c r="S103" s="456"/>
      <c r="T103" s="383">
        <f t="shared" si="29"/>
        <v>10000</v>
      </c>
      <c r="U103" s="375">
        <f t="shared" si="30"/>
        <v>0</v>
      </c>
      <c r="V103" s="375">
        <f t="shared" si="31"/>
        <v>0</v>
      </c>
      <c r="W103" s="375">
        <f t="shared" si="32"/>
        <v>0</v>
      </c>
      <c r="X103" s="375">
        <f t="shared" si="33"/>
        <v>0</v>
      </c>
      <c r="Y103" s="377">
        <f t="shared" si="27"/>
        <v>0</v>
      </c>
      <c r="AA103" s="88"/>
      <c r="AB103" s="19"/>
      <c r="AC103" s="19"/>
    </row>
    <row r="104" spans="1:29" ht="18" customHeight="1">
      <c r="A104" s="62"/>
      <c r="B104" s="89"/>
      <c r="C104" s="112"/>
      <c r="D104" s="69"/>
      <c r="E104" s="69"/>
      <c r="F104" s="71"/>
      <c r="G104" s="90"/>
      <c r="H104" s="91" t="s">
        <v>80</v>
      </c>
      <c r="I104" s="394" t="s">
        <v>214</v>
      </c>
      <c r="J104" s="75">
        <v>50000</v>
      </c>
      <c r="K104" s="76" t="s">
        <v>160</v>
      </c>
      <c r="L104" s="77">
        <v>12</v>
      </c>
      <c r="M104" s="76" t="s">
        <v>167</v>
      </c>
      <c r="N104" s="78"/>
      <c r="O104" s="76"/>
      <c r="P104" s="78" t="s">
        <v>0</v>
      </c>
      <c r="Q104" s="79">
        <f>ROUNDDOWN(J104*L104,-3)</f>
        <v>600000</v>
      </c>
      <c r="R104" s="358"/>
      <c r="S104" s="456"/>
      <c r="T104" s="383">
        <f t="shared" si="29"/>
        <v>0</v>
      </c>
      <c r="U104" s="375">
        <f t="shared" si="30"/>
        <v>0</v>
      </c>
      <c r="V104" s="375">
        <f t="shared" si="31"/>
        <v>0</v>
      </c>
      <c r="W104" s="375">
        <f t="shared" si="32"/>
        <v>0</v>
      </c>
      <c r="X104" s="375">
        <f t="shared" si="33"/>
        <v>600000</v>
      </c>
      <c r="Y104" s="377">
        <f t="shared" si="27"/>
        <v>0</v>
      </c>
      <c r="AA104" s="88"/>
      <c r="AB104" s="19"/>
      <c r="AC104" s="19"/>
    </row>
    <row r="105" spans="1:29" ht="17.25" customHeight="1">
      <c r="A105" s="62"/>
      <c r="B105" s="89"/>
      <c r="C105" s="111" t="s">
        <v>81</v>
      </c>
      <c r="D105" s="65">
        <v>8520</v>
      </c>
      <c r="E105" s="50">
        <f>SUM(T105:X109)*0.001</f>
        <v>9276</v>
      </c>
      <c r="F105" s="66">
        <f>E105-D105</f>
        <v>756</v>
      </c>
      <c r="G105" s="335" t="s">
        <v>267</v>
      </c>
      <c r="H105" s="306" t="s">
        <v>279</v>
      </c>
      <c r="I105" s="393"/>
      <c r="J105" s="303"/>
      <c r="K105" s="106"/>
      <c r="L105" s="107"/>
      <c r="M105" s="106"/>
      <c r="N105" s="108"/>
      <c r="O105" s="106"/>
      <c r="P105" s="109"/>
      <c r="Q105" s="110"/>
      <c r="R105" s="355"/>
      <c r="S105" s="445">
        <f>SUM(T105:X107)</f>
        <v>7440000</v>
      </c>
      <c r="T105" s="386" t="str">
        <f>H105</f>
        <v>차량유류비</v>
      </c>
      <c r="U105" s="378"/>
      <c r="V105" s="390"/>
      <c r="W105" s="390"/>
      <c r="X105" s="380"/>
      <c r="Y105" s="377">
        <f t="shared" si="27"/>
        <v>0</v>
      </c>
      <c r="AA105" s="88"/>
      <c r="AB105" s="19"/>
      <c r="AC105" s="19"/>
    </row>
    <row r="106" spans="1:29" ht="17.25" customHeight="1">
      <c r="A106" s="62"/>
      <c r="B106" s="89"/>
      <c r="C106" s="112"/>
      <c r="D106" s="69"/>
      <c r="E106" s="70"/>
      <c r="F106" s="71"/>
      <c r="G106" s="90"/>
      <c r="H106" s="91" t="s">
        <v>151</v>
      </c>
      <c r="I106" s="394" t="s">
        <v>214</v>
      </c>
      <c r="J106" s="75">
        <v>180000</v>
      </c>
      <c r="K106" s="76" t="s">
        <v>160</v>
      </c>
      <c r="L106" s="77">
        <v>12</v>
      </c>
      <c r="M106" s="76" t="s">
        <v>183</v>
      </c>
      <c r="N106" s="78">
        <v>1</v>
      </c>
      <c r="O106" s="76" t="s">
        <v>184</v>
      </c>
      <c r="P106" s="78" t="s">
        <v>0</v>
      </c>
      <c r="Q106" s="79">
        <f>ROUNDDOWN(J106*L106*N106,-3)</f>
        <v>2160000</v>
      </c>
      <c r="R106" s="356"/>
      <c r="S106" s="455"/>
      <c r="T106" s="383">
        <f>SUMIF($I106,"보",$Q106)</f>
        <v>0</v>
      </c>
      <c r="U106" s="375">
        <f>SUMIF($I106,"수",$Q106)</f>
        <v>0</v>
      </c>
      <c r="V106" s="375">
        <f>SUMIF($I106,"잡",$Q106)</f>
        <v>0</v>
      </c>
      <c r="W106" s="375">
        <f>SUMIF($I106,"후(지)",$Q106)</f>
        <v>0</v>
      </c>
      <c r="X106" s="375">
        <f>SUMIF($I106,"후(비)",$Q106)</f>
        <v>2160000</v>
      </c>
      <c r="Y106" s="377">
        <f t="shared" si="27"/>
        <v>0</v>
      </c>
      <c r="AA106" s="88"/>
      <c r="AB106" s="19"/>
      <c r="AC106" s="19"/>
    </row>
    <row r="107" spans="1:25" ht="17.25" customHeight="1">
      <c r="A107" s="62"/>
      <c r="B107" s="89"/>
      <c r="C107" s="112"/>
      <c r="D107" s="69"/>
      <c r="E107" s="69"/>
      <c r="F107" s="71"/>
      <c r="G107" s="90"/>
      <c r="H107" s="91" t="s">
        <v>152</v>
      </c>
      <c r="I107" s="394" t="s">
        <v>214</v>
      </c>
      <c r="J107" s="75">
        <v>220000</v>
      </c>
      <c r="K107" s="76" t="s">
        <v>160</v>
      </c>
      <c r="L107" s="77">
        <v>12</v>
      </c>
      <c r="M107" s="76" t="s">
        <v>183</v>
      </c>
      <c r="N107" s="78">
        <v>2</v>
      </c>
      <c r="O107" s="76" t="s">
        <v>184</v>
      </c>
      <c r="P107" s="78" t="s">
        <v>0</v>
      </c>
      <c r="Q107" s="79">
        <f>ROUNDDOWN(J107*L107*N107,-3)</f>
        <v>5280000</v>
      </c>
      <c r="R107" s="356"/>
      <c r="S107" s="455"/>
      <c r="T107" s="383">
        <f>SUMIF($I107,"보",$Q107)</f>
        <v>0</v>
      </c>
      <c r="U107" s="375">
        <f>SUMIF($I107,"수",$Q107)</f>
        <v>0</v>
      </c>
      <c r="V107" s="375">
        <f>SUMIF($I107,"잡",$Q107)</f>
        <v>0</v>
      </c>
      <c r="W107" s="375">
        <f>SUMIF($I107,"후(지)",$Q107)</f>
        <v>0</v>
      </c>
      <c r="X107" s="375">
        <f>SUMIF($I107,"후(비)",$Q107)</f>
        <v>5280000</v>
      </c>
      <c r="Y107" s="377">
        <f t="shared" si="27"/>
        <v>0</v>
      </c>
    </row>
    <row r="108" spans="1:25" ht="17.25" customHeight="1">
      <c r="A108" s="62"/>
      <c r="B108" s="89"/>
      <c r="C108" s="112"/>
      <c r="D108" s="69"/>
      <c r="E108" s="69"/>
      <c r="F108" s="71"/>
      <c r="G108" s="73" t="s">
        <v>267</v>
      </c>
      <c r="H108" s="91" t="s">
        <v>280</v>
      </c>
      <c r="I108" s="397"/>
      <c r="J108" s="398"/>
      <c r="K108" s="399"/>
      <c r="L108" s="400"/>
      <c r="M108" s="399"/>
      <c r="N108" s="397"/>
      <c r="O108" s="399"/>
      <c r="P108" s="397"/>
      <c r="Q108" s="79"/>
      <c r="R108" s="355"/>
      <c r="S108" s="445">
        <f>SUM(T108:X109)</f>
        <v>1836000</v>
      </c>
      <c r="T108" s="386" t="str">
        <f>H108</f>
        <v>차량관리비 </v>
      </c>
      <c r="U108" s="378"/>
      <c r="V108" s="390"/>
      <c r="W108" s="390"/>
      <c r="X108" s="389"/>
      <c r="Y108" s="377">
        <f t="shared" si="27"/>
        <v>0</v>
      </c>
    </row>
    <row r="109" spans="1:29" s="125" customFormat="1" ht="17.25" customHeight="1">
      <c r="A109" s="117"/>
      <c r="B109" s="118"/>
      <c r="C109" s="119"/>
      <c r="D109" s="120"/>
      <c r="E109" s="121"/>
      <c r="F109" s="122"/>
      <c r="G109" s="115"/>
      <c r="H109" s="91" t="s">
        <v>82</v>
      </c>
      <c r="I109" s="394" t="s">
        <v>174</v>
      </c>
      <c r="J109" s="75">
        <v>51000</v>
      </c>
      <c r="K109" s="76" t="s">
        <v>160</v>
      </c>
      <c r="L109" s="77">
        <v>12</v>
      </c>
      <c r="M109" s="76" t="s">
        <v>183</v>
      </c>
      <c r="N109" s="78">
        <v>3</v>
      </c>
      <c r="O109" s="76" t="s">
        <v>184</v>
      </c>
      <c r="P109" s="78" t="s">
        <v>0</v>
      </c>
      <c r="Q109" s="79">
        <f>ROUNDDOWN(J109*L109*N109,-3)</f>
        <v>1836000</v>
      </c>
      <c r="R109" s="356"/>
      <c r="S109" s="457"/>
      <c r="T109" s="383">
        <f>SUMIF($I109,"보",$Q109)</f>
        <v>1836000</v>
      </c>
      <c r="U109" s="375">
        <f>SUMIF($I109,"수",$Q109)</f>
        <v>0</v>
      </c>
      <c r="V109" s="375">
        <f>SUMIF($I109,"잡",$Q109)</f>
        <v>0</v>
      </c>
      <c r="W109" s="375">
        <f>SUMIF($I109,"후(지)",$Q109)</f>
        <v>0</v>
      </c>
      <c r="X109" s="375">
        <f>SUMIF($I109,"후(비)",$Q109)</f>
        <v>0</v>
      </c>
      <c r="Y109" s="377">
        <f t="shared" si="27"/>
        <v>0</v>
      </c>
      <c r="Z109" s="123"/>
      <c r="AA109" s="18"/>
      <c r="AB109" s="124"/>
      <c r="AC109" s="124"/>
    </row>
    <row r="110" spans="1:25" ht="17.25" customHeight="1">
      <c r="A110" s="62"/>
      <c r="B110" s="67"/>
      <c r="C110" s="64" t="s">
        <v>125</v>
      </c>
      <c r="D110" s="65">
        <v>4900</v>
      </c>
      <c r="E110" s="50">
        <f>SUM(T110:X114)*0.001</f>
        <v>4040</v>
      </c>
      <c r="F110" s="66">
        <f>E110-D110</f>
        <v>-860</v>
      </c>
      <c r="G110" s="335" t="s">
        <v>267</v>
      </c>
      <c r="H110" s="306" t="s">
        <v>281</v>
      </c>
      <c r="I110" s="393"/>
      <c r="J110" s="303"/>
      <c r="K110" s="106"/>
      <c r="L110" s="107"/>
      <c r="M110" s="106"/>
      <c r="N110" s="108"/>
      <c r="O110" s="106"/>
      <c r="P110" s="109"/>
      <c r="Q110" s="110"/>
      <c r="R110" s="355"/>
      <c r="S110" s="445">
        <f>SUM(T110:X114)</f>
        <v>4040000</v>
      </c>
      <c r="T110" s="386" t="str">
        <f>H110</f>
        <v>기타운영비</v>
      </c>
      <c r="U110" s="378"/>
      <c r="V110" s="390"/>
      <c r="W110" s="390"/>
      <c r="X110" s="380"/>
      <c r="Y110" s="377">
        <f t="shared" si="27"/>
        <v>0</v>
      </c>
    </row>
    <row r="111" spans="1:25" ht="17.25" customHeight="1">
      <c r="A111" s="62"/>
      <c r="B111" s="89"/>
      <c r="C111" s="68"/>
      <c r="D111" s="69"/>
      <c r="E111" s="72"/>
      <c r="F111" s="71"/>
      <c r="G111" s="90"/>
      <c r="H111" s="91" t="s">
        <v>243</v>
      </c>
      <c r="I111" s="394" t="s">
        <v>214</v>
      </c>
      <c r="J111" s="75">
        <v>2000000</v>
      </c>
      <c r="K111" s="76" t="s">
        <v>160</v>
      </c>
      <c r="L111" s="77">
        <v>1</v>
      </c>
      <c r="M111" s="76" t="s">
        <v>170</v>
      </c>
      <c r="N111" s="78"/>
      <c r="O111" s="76"/>
      <c r="P111" s="126" t="s">
        <v>224</v>
      </c>
      <c r="Q111" s="79">
        <f>ROUNDDOWN(J111*L111,-3)</f>
        <v>2000000</v>
      </c>
      <c r="R111" s="356"/>
      <c r="S111" s="455"/>
      <c r="T111" s="383">
        <f>SUMIF($I111,"보",$Q111)</f>
        <v>0</v>
      </c>
      <c r="U111" s="375">
        <f>SUMIF($I111,"수",$Q111)</f>
        <v>0</v>
      </c>
      <c r="V111" s="375">
        <f>SUMIF($I111,"잡",$Q111)</f>
        <v>0</v>
      </c>
      <c r="W111" s="375">
        <f>SUMIF($I111,"후(지)",$Q111)</f>
        <v>0</v>
      </c>
      <c r="X111" s="375">
        <f>SUMIF($I111,"후(비)",$Q111)</f>
        <v>2000000</v>
      </c>
      <c r="Y111" s="377" t="e">
        <f>SUM(#REF!)-#REF!</f>
        <v>#REF!</v>
      </c>
    </row>
    <row r="112" spans="1:25" ht="17.25" customHeight="1">
      <c r="A112" s="62"/>
      <c r="B112" s="89"/>
      <c r="C112" s="68"/>
      <c r="D112" s="69"/>
      <c r="E112" s="72"/>
      <c r="F112" s="71"/>
      <c r="G112" s="90"/>
      <c r="H112" s="91" t="s">
        <v>244</v>
      </c>
      <c r="I112" s="394" t="s">
        <v>214</v>
      </c>
      <c r="J112" s="75">
        <v>1000000</v>
      </c>
      <c r="K112" s="76" t="s">
        <v>160</v>
      </c>
      <c r="L112" s="77">
        <v>1</v>
      </c>
      <c r="M112" s="76" t="s">
        <v>170</v>
      </c>
      <c r="N112" s="78"/>
      <c r="O112" s="76"/>
      <c r="P112" s="126" t="s">
        <v>224</v>
      </c>
      <c r="Q112" s="79">
        <f>ROUNDDOWN(J112*L112,-3)</f>
        <v>1000000</v>
      </c>
      <c r="R112" s="356"/>
      <c r="S112" s="455"/>
      <c r="T112" s="383">
        <f>SUMIF($I112,"보",$Q112)</f>
        <v>0</v>
      </c>
      <c r="U112" s="375">
        <f>SUMIF($I112,"수",$Q112)</f>
        <v>0</v>
      </c>
      <c r="V112" s="375">
        <f>SUMIF($I112,"잡",$Q112)</f>
        <v>0</v>
      </c>
      <c r="W112" s="375">
        <f>SUMIF($I112,"후(지)",$Q112)</f>
        <v>0</v>
      </c>
      <c r="X112" s="375">
        <f>SUMIF($I112,"후(비)",$Q112)</f>
        <v>1000000</v>
      </c>
      <c r="Y112" s="377">
        <f t="shared" si="27"/>
        <v>0</v>
      </c>
    </row>
    <row r="113" spans="1:25" ht="17.25" customHeight="1">
      <c r="A113" s="62"/>
      <c r="B113" s="89"/>
      <c r="C113" s="68"/>
      <c r="D113" s="69"/>
      <c r="E113" s="72"/>
      <c r="F113" s="71"/>
      <c r="G113" s="90"/>
      <c r="H113" s="91" t="s">
        <v>263</v>
      </c>
      <c r="I113" s="394" t="s">
        <v>214</v>
      </c>
      <c r="J113" s="75">
        <v>270000</v>
      </c>
      <c r="K113" s="76" t="s">
        <v>160</v>
      </c>
      <c r="L113" s="77">
        <v>2</v>
      </c>
      <c r="M113" s="76" t="s">
        <v>170</v>
      </c>
      <c r="N113" s="78"/>
      <c r="O113" s="76"/>
      <c r="P113" s="126" t="s">
        <v>224</v>
      </c>
      <c r="Q113" s="79">
        <f>ROUNDDOWN(J113*L113,-3)</f>
        <v>540000</v>
      </c>
      <c r="R113" s="356"/>
      <c r="S113" s="455"/>
      <c r="T113" s="383">
        <f>SUMIF($I113,"보",$Q113)</f>
        <v>0</v>
      </c>
      <c r="U113" s="375">
        <f>SUMIF($I113,"수",$Q113)</f>
        <v>0</v>
      </c>
      <c r="V113" s="375">
        <f>SUMIF($I113,"잡",$Q113)</f>
        <v>0</v>
      </c>
      <c r="W113" s="375">
        <f>SUMIF($I113,"후(지)",$Q113)</f>
        <v>0</v>
      </c>
      <c r="X113" s="375">
        <f>SUMIF($I113,"후(비)",$Q113)</f>
        <v>540000</v>
      </c>
      <c r="Y113" s="377">
        <f t="shared" si="27"/>
        <v>0</v>
      </c>
    </row>
    <row r="114" spans="1:25" ht="17.25" customHeight="1">
      <c r="A114" s="62"/>
      <c r="B114" s="89"/>
      <c r="C114" s="68"/>
      <c r="D114" s="69"/>
      <c r="E114" s="72"/>
      <c r="F114" s="71"/>
      <c r="G114" s="90"/>
      <c r="H114" s="91" t="s">
        <v>262</v>
      </c>
      <c r="I114" s="394" t="s">
        <v>214</v>
      </c>
      <c r="J114" s="75">
        <v>500000</v>
      </c>
      <c r="K114" s="76" t="s">
        <v>160</v>
      </c>
      <c r="L114" s="77">
        <v>1</v>
      </c>
      <c r="M114" s="76" t="s">
        <v>173</v>
      </c>
      <c r="N114" s="78"/>
      <c r="O114" s="76"/>
      <c r="P114" s="126" t="s">
        <v>224</v>
      </c>
      <c r="Q114" s="79">
        <f>ROUNDDOWN(J114*L114,-3)</f>
        <v>500000</v>
      </c>
      <c r="R114" s="356"/>
      <c r="S114" s="455"/>
      <c r="T114" s="383">
        <f>SUMIF($I114,"보",$Q114)</f>
        <v>0</v>
      </c>
      <c r="U114" s="375">
        <f>SUMIF($I114,"수",$Q114)</f>
        <v>0</v>
      </c>
      <c r="V114" s="375">
        <f>SUMIF($I114,"잡",$Q114)</f>
        <v>0</v>
      </c>
      <c r="W114" s="375">
        <f>SUMIF($I114,"후(지)",$Q114)</f>
        <v>0</v>
      </c>
      <c r="X114" s="375">
        <f>SUMIF($I114,"후(비)",$Q114)</f>
        <v>500000</v>
      </c>
      <c r="Y114" s="377">
        <f t="shared" si="27"/>
        <v>0</v>
      </c>
    </row>
    <row r="115" spans="1:25" ht="17.25" customHeight="1">
      <c r="A115" s="531" t="s">
        <v>83</v>
      </c>
      <c r="B115" s="524"/>
      <c r="C115" s="524"/>
      <c r="D115" s="49">
        <f>D116</f>
        <v>17236</v>
      </c>
      <c r="E115" s="50">
        <f>SUM(T115:X126)*0.001</f>
        <v>122580</v>
      </c>
      <c r="F115" s="66">
        <f>E115-D115</f>
        <v>105344</v>
      </c>
      <c r="G115" s="127"/>
      <c r="H115" s="128"/>
      <c r="I115" s="215"/>
      <c r="J115" s="99"/>
      <c r="K115" s="106"/>
      <c r="L115" s="107"/>
      <c r="M115" s="106"/>
      <c r="N115" s="108"/>
      <c r="O115" s="106"/>
      <c r="P115" s="109"/>
      <c r="Q115" s="110"/>
      <c r="R115" s="357"/>
      <c r="S115" s="454"/>
      <c r="T115" s="405" t="str">
        <f>A115</f>
        <v>02.재산조성비</v>
      </c>
      <c r="U115" s="371"/>
      <c r="V115" s="371"/>
      <c r="W115" s="371"/>
      <c r="X115" s="371"/>
      <c r="Y115" s="377">
        <f>SUM(T115:X115)-Q115</f>
        <v>0</v>
      </c>
    </row>
    <row r="116" spans="1:25" ht="17.25" customHeight="1">
      <c r="A116" s="62"/>
      <c r="B116" s="546" t="s">
        <v>84</v>
      </c>
      <c r="C116" s="516"/>
      <c r="D116" s="49">
        <f>SUM(D117:D126)</f>
        <v>17236</v>
      </c>
      <c r="E116" s="50">
        <f>SUM(T116:X126)*0.001</f>
        <v>122580</v>
      </c>
      <c r="F116" s="66">
        <f>E116-D116</f>
        <v>105344</v>
      </c>
      <c r="G116" s="365"/>
      <c r="H116" s="366"/>
      <c r="I116" s="401"/>
      <c r="J116" s="275"/>
      <c r="K116" s="106"/>
      <c r="L116" s="107"/>
      <c r="M116" s="106"/>
      <c r="N116" s="108"/>
      <c r="O116" s="106"/>
      <c r="P116" s="109"/>
      <c r="Q116" s="110"/>
      <c r="R116" s="357"/>
      <c r="S116" s="454"/>
      <c r="T116" s="405" t="str">
        <f>B116</f>
        <v>21.시설비</v>
      </c>
      <c r="U116" s="407"/>
      <c r="V116" s="367"/>
      <c r="W116" s="367"/>
      <c r="X116" s="371"/>
      <c r="Y116" s="377">
        <f>SUM(T116:X116)-Q116</f>
        <v>0</v>
      </c>
    </row>
    <row r="117" spans="1:25" ht="17.25" customHeight="1">
      <c r="A117" s="62"/>
      <c r="B117" s="132"/>
      <c r="C117" s="68" t="s">
        <v>85</v>
      </c>
      <c r="D117" s="69">
        <v>0</v>
      </c>
      <c r="E117" s="50">
        <f>SUM(T117:X118)*0.001</f>
        <v>100000</v>
      </c>
      <c r="F117" s="66">
        <f>E117-D117</f>
        <v>100000</v>
      </c>
      <c r="G117" s="335" t="s">
        <v>267</v>
      </c>
      <c r="H117" s="306" t="s">
        <v>282</v>
      </c>
      <c r="I117" s="393"/>
      <c r="J117" s="303"/>
      <c r="K117" s="106"/>
      <c r="L117" s="107"/>
      <c r="M117" s="106"/>
      <c r="N117" s="108"/>
      <c r="O117" s="106"/>
      <c r="P117" s="109"/>
      <c r="Q117" s="110"/>
      <c r="R117" s="357"/>
      <c r="S117" s="445">
        <f>SUM(T117:X118)</f>
        <v>100000000</v>
      </c>
      <c r="T117" s="386" t="str">
        <f>H117</f>
        <v>시설비</v>
      </c>
      <c r="U117" s="378"/>
      <c r="V117" s="390"/>
      <c r="W117" s="390"/>
      <c r="X117" s="380"/>
      <c r="Y117" s="377">
        <f>SUM(T117:X117)-Q117</f>
        <v>0</v>
      </c>
    </row>
    <row r="118" spans="1:25" ht="17.25" customHeight="1" thickBot="1">
      <c r="A118" s="286"/>
      <c r="B118" s="292"/>
      <c r="C118" s="146"/>
      <c r="D118" s="147"/>
      <c r="E118" s="282"/>
      <c r="F118" s="149"/>
      <c r="G118" s="150"/>
      <c r="H118" s="151" t="s">
        <v>319</v>
      </c>
      <c r="I118" s="403" t="s">
        <v>217</v>
      </c>
      <c r="J118" s="269">
        <v>100000000</v>
      </c>
      <c r="K118" s="153" t="s">
        <v>160</v>
      </c>
      <c r="L118" s="271">
        <v>1</v>
      </c>
      <c r="M118" s="153" t="s">
        <v>172</v>
      </c>
      <c r="N118" s="152"/>
      <c r="O118" s="153"/>
      <c r="P118" s="152" t="s">
        <v>0</v>
      </c>
      <c r="Q118" s="154">
        <f>ROUNDDOWN(J118*L118,-1)</f>
        <v>100000000</v>
      </c>
      <c r="R118" s="356"/>
      <c r="S118" s="455"/>
      <c r="T118" s="383">
        <f>SUMIF($I118,"보",$Q118)</f>
        <v>0</v>
      </c>
      <c r="U118" s="375">
        <f>SUMIF($I118,"수",$Q118)</f>
        <v>0</v>
      </c>
      <c r="V118" s="375">
        <f>SUMIF($I118,"잡",$Q118)</f>
        <v>0</v>
      </c>
      <c r="W118" s="375">
        <f>SUMIF($I118,"후(지)",$Q118)</f>
        <v>100000000</v>
      </c>
      <c r="X118" s="375">
        <f>SUMIF($I118,"후(비)",$Q118)</f>
        <v>0</v>
      </c>
      <c r="Y118" s="377">
        <f>SUM(T117:X117)-Q117</f>
        <v>0</v>
      </c>
    </row>
    <row r="119" spans="1:25" ht="18" customHeight="1">
      <c r="A119" s="62"/>
      <c r="B119" s="132"/>
      <c r="C119" s="68" t="s">
        <v>99</v>
      </c>
      <c r="D119" s="69">
        <v>9256</v>
      </c>
      <c r="E119" s="70">
        <f>SUM(T119:X120)*0.001</f>
        <v>5580</v>
      </c>
      <c r="F119" s="71">
        <f>E119-D119</f>
        <v>-3676</v>
      </c>
      <c r="G119" s="73" t="s">
        <v>267</v>
      </c>
      <c r="H119" s="91" t="s">
        <v>283</v>
      </c>
      <c r="I119" s="395"/>
      <c r="J119" s="221"/>
      <c r="K119" s="76"/>
      <c r="L119" s="77"/>
      <c r="M119" s="76"/>
      <c r="N119" s="78"/>
      <c r="O119" s="76"/>
      <c r="P119" s="126"/>
      <c r="Q119" s="79"/>
      <c r="R119" s="357"/>
      <c r="S119" s="445">
        <f>SUM(T119:X120)</f>
        <v>5580000</v>
      </c>
      <c r="T119" s="386" t="str">
        <f>H119</f>
        <v>자산취득비</v>
      </c>
      <c r="U119" s="387"/>
      <c r="V119" s="388"/>
      <c r="W119" s="388"/>
      <c r="X119" s="389"/>
      <c r="Y119" s="377">
        <f>SUM(T118:X118)-Q118</f>
        <v>0</v>
      </c>
    </row>
    <row r="120" spans="1:25" ht="18" customHeight="1">
      <c r="A120" s="101"/>
      <c r="B120" s="132"/>
      <c r="C120" s="68"/>
      <c r="D120" s="69"/>
      <c r="E120" s="70"/>
      <c r="F120" s="71"/>
      <c r="G120" s="87"/>
      <c r="H120" s="114" t="s">
        <v>324</v>
      </c>
      <c r="I120" s="394" t="s">
        <v>214</v>
      </c>
      <c r="J120" s="75">
        <v>5580000</v>
      </c>
      <c r="K120" s="76" t="s">
        <v>160</v>
      </c>
      <c r="L120" s="77">
        <v>1</v>
      </c>
      <c r="M120" s="76" t="s">
        <v>172</v>
      </c>
      <c r="N120" s="78"/>
      <c r="O120" s="76"/>
      <c r="P120" s="78" t="s">
        <v>0</v>
      </c>
      <c r="Q120" s="79">
        <f>ROUNDDOWN(J120*L120,-1)</f>
        <v>5580000</v>
      </c>
      <c r="R120" s="356"/>
      <c r="S120" s="455"/>
      <c r="T120" s="383">
        <f>SUMIF($I120,"보",$Q120)</f>
        <v>0</v>
      </c>
      <c r="U120" s="375">
        <f>SUMIF($I120,"수",$Q120)</f>
        <v>0</v>
      </c>
      <c r="V120" s="375">
        <f>SUMIF($I120,"잡",$Q120)</f>
        <v>0</v>
      </c>
      <c r="W120" s="375">
        <f>SUMIF($I120,"후(지)",$Q120)</f>
        <v>0</v>
      </c>
      <c r="X120" s="375">
        <f>SUMIF($I120,"후(비)",$Q120)</f>
        <v>5580000</v>
      </c>
      <c r="Y120" s="377">
        <f>SUM(T119:X119)-Q119</f>
        <v>0</v>
      </c>
    </row>
    <row r="121" spans="1:25" ht="18" customHeight="1">
      <c r="A121" s="101"/>
      <c r="B121" s="132"/>
      <c r="C121" s="64" t="s">
        <v>94</v>
      </c>
      <c r="D121" s="65">
        <v>7980</v>
      </c>
      <c r="E121" s="50">
        <f>SUM(T121:X126)*0.001</f>
        <v>17000</v>
      </c>
      <c r="F121" s="66">
        <f>E121-D121</f>
        <v>9020</v>
      </c>
      <c r="G121" s="335" t="s">
        <v>267</v>
      </c>
      <c r="H121" s="306" t="s">
        <v>284</v>
      </c>
      <c r="I121" s="393"/>
      <c r="J121" s="303"/>
      <c r="K121" s="106"/>
      <c r="L121" s="107"/>
      <c r="M121" s="106"/>
      <c r="N121" s="108"/>
      <c r="O121" s="106"/>
      <c r="P121" s="109"/>
      <c r="Q121" s="110"/>
      <c r="R121" s="355"/>
      <c r="S121" s="445">
        <f>SUM(T121:X128)</f>
        <v>17000000</v>
      </c>
      <c r="T121" s="386" t="str">
        <f>H121</f>
        <v>시설장비유지비</v>
      </c>
      <c r="U121" s="387"/>
      <c r="V121" s="388"/>
      <c r="W121" s="388"/>
      <c r="X121" s="389"/>
      <c r="Y121" s="377" t="e">
        <f>SUM(#REF!)-#REF!</f>
        <v>#REF!</v>
      </c>
    </row>
    <row r="122" spans="1:25" ht="18" customHeight="1">
      <c r="A122" s="101"/>
      <c r="B122" s="132"/>
      <c r="C122" s="68"/>
      <c r="D122" s="69"/>
      <c r="E122" s="70"/>
      <c r="F122" s="71"/>
      <c r="G122" s="90"/>
      <c r="H122" s="114" t="s">
        <v>249</v>
      </c>
      <c r="I122" s="394" t="s">
        <v>214</v>
      </c>
      <c r="J122" s="75">
        <v>4000000</v>
      </c>
      <c r="K122" s="76" t="s">
        <v>160</v>
      </c>
      <c r="L122" s="134">
        <v>1</v>
      </c>
      <c r="M122" s="76" t="s">
        <v>172</v>
      </c>
      <c r="N122" s="78"/>
      <c r="O122" s="76"/>
      <c r="P122" s="78" t="s">
        <v>0</v>
      </c>
      <c r="Q122" s="79">
        <f>ROUNDDOWN(J122*L122,-3)</f>
        <v>4000000</v>
      </c>
      <c r="R122" s="356"/>
      <c r="S122" s="455"/>
      <c r="T122" s="383">
        <f>SUMIF($I122,"보",$Q122)</f>
        <v>0</v>
      </c>
      <c r="U122" s="375">
        <f>SUMIF($I122,"수",$Q122)</f>
        <v>0</v>
      </c>
      <c r="V122" s="375">
        <f>SUMIF($I122,"잡",$Q122)</f>
        <v>0</v>
      </c>
      <c r="W122" s="375">
        <f>SUMIF($I122,"후(지)",$Q122)</f>
        <v>0</v>
      </c>
      <c r="X122" s="375">
        <f>SUMIF($I122,"후(비)",$Q122)</f>
        <v>4000000</v>
      </c>
      <c r="Y122" s="377">
        <f>SUM(T121:X121)-Q121</f>
        <v>0</v>
      </c>
    </row>
    <row r="123" spans="1:25" ht="18" customHeight="1">
      <c r="A123" s="62"/>
      <c r="B123" s="133"/>
      <c r="C123" s="68"/>
      <c r="D123" s="69"/>
      <c r="E123" s="70"/>
      <c r="F123" s="71"/>
      <c r="G123" s="90"/>
      <c r="H123" s="114" t="s">
        <v>330</v>
      </c>
      <c r="I123" s="394" t="s">
        <v>214</v>
      </c>
      <c r="J123" s="75">
        <v>6000000</v>
      </c>
      <c r="K123" s="76" t="s">
        <v>160</v>
      </c>
      <c r="L123" s="134">
        <v>1</v>
      </c>
      <c r="M123" s="76" t="s">
        <v>172</v>
      </c>
      <c r="N123" s="78"/>
      <c r="O123" s="76"/>
      <c r="P123" s="78" t="s">
        <v>0</v>
      </c>
      <c r="Q123" s="79">
        <f>ROUNDDOWN(J123*L123,-3)</f>
        <v>6000000</v>
      </c>
      <c r="R123" s="356"/>
      <c r="S123" s="455"/>
      <c r="T123" s="383">
        <f>SUMIF($I123,"보",$Q123)</f>
        <v>0</v>
      </c>
      <c r="U123" s="375">
        <f>SUMIF($I123,"수",$Q123)</f>
        <v>0</v>
      </c>
      <c r="V123" s="375">
        <f>SUMIF($I123,"잡",$Q123)</f>
        <v>0</v>
      </c>
      <c r="W123" s="375">
        <f>SUMIF($I123,"후(지)",$Q123)</f>
        <v>0</v>
      </c>
      <c r="X123" s="375">
        <f>SUMIF($I123,"후(비)",$Q123)</f>
        <v>6000000</v>
      </c>
      <c r="Y123" s="377"/>
    </row>
    <row r="124" spans="1:25" ht="18" customHeight="1">
      <c r="A124" s="62"/>
      <c r="B124" s="133"/>
      <c r="C124" s="68"/>
      <c r="D124" s="69"/>
      <c r="E124" s="69"/>
      <c r="F124" s="71"/>
      <c r="G124" s="90"/>
      <c r="H124" s="114" t="s">
        <v>230</v>
      </c>
      <c r="I124" s="394" t="s">
        <v>214</v>
      </c>
      <c r="J124" s="75">
        <v>2000000</v>
      </c>
      <c r="K124" s="76" t="s">
        <v>160</v>
      </c>
      <c r="L124" s="134">
        <v>1</v>
      </c>
      <c r="M124" s="76" t="s">
        <v>172</v>
      </c>
      <c r="N124" s="78"/>
      <c r="O124" s="76"/>
      <c r="P124" s="78" t="s">
        <v>0</v>
      </c>
      <c r="Q124" s="79">
        <f>ROUNDDOWN(J124*L124,-3)</f>
        <v>2000000</v>
      </c>
      <c r="R124" s="358"/>
      <c r="S124" s="455"/>
      <c r="T124" s="383">
        <f>SUMIF($I124,"보",$Q124)</f>
        <v>0</v>
      </c>
      <c r="U124" s="375">
        <f>SUMIF($I124,"수",$Q124)</f>
        <v>0</v>
      </c>
      <c r="V124" s="375">
        <f>SUMIF($I124,"잡",$Q124)</f>
        <v>0</v>
      </c>
      <c r="W124" s="375">
        <f>SUMIF($I124,"후(지)",$Q124)</f>
        <v>0</v>
      </c>
      <c r="X124" s="375">
        <f>SUMIF($I124,"후(비)",$Q124)</f>
        <v>2000000</v>
      </c>
      <c r="Y124" s="377" t="e">
        <f>SUM(#REF!)-#REF!</f>
        <v>#REF!</v>
      </c>
    </row>
    <row r="125" spans="1:25" ht="18" customHeight="1">
      <c r="A125" s="62"/>
      <c r="B125" s="133"/>
      <c r="C125" s="68"/>
      <c r="D125" s="69"/>
      <c r="E125" s="69"/>
      <c r="F125" s="71"/>
      <c r="G125" s="90"/>
      <c r="H125" s="114" t="s">
        <v>321</v>
      </c>
      <c r="I125" s="394" t="s">
        <v>207</v>
      </c>
      <c r="J125" s="75">
        <v>2000000</v>
      </c>
      <c r="K125" s="76" t="s">
        <v>160</v>
      </c>
      <c r="L125" s="134">
        <v>1</v>
      </c>
      <c r="M125" s="76" t="s">
        <v>172</v>
      </c>
      <c r="N125" s="78"/>
      <c r="O125" s="76"/>
      <c r="P125" s="78" t="s">
        <v>0</v>
      </c>
      <c r="Q125" s="79">
        <f>ROUNDDOWN(J125*L125,-3)</f>
        <v>2000000</v>
      </c>
      <c r="R125" s="358"/>
      <c r="S125" s="455"/>
      <c r="T125" s="383">
        <f>SUMIF($I125,"보",$Q125)</f>
        <v>0</v>
      </c>
      <c r="U125" s="375">
        <f>SUMIF($I125,"수",$Q125)</f>
        <v>0</v>
      </c>
      <c r="V125" s="375">
        <f>SUMIF($I125,"잡",$Q125)</f>
        <v>2000000</v>
      </c>
      <c r="W125" s="375">
        <f>SUMIF($I125,"후(지)",$Q125)</f>
        <v>0</v>
      </c>
      <c r="X125" s="375">
        <f>SUMIF($I125,"후(비)",$Q125)</f>
        <v>0</v>
      </c>
      <c r="Y125" s="377" t="e">
        <f>SUM(#REF!)-#REF!</f>
        <v>#REF!</v>
      </c>
    </row>
    <row r="126" spans="1:25" ht="18" customHeight="1">
      <c r="A126" s="62"/>
      <c r="B126" s="133"/>
      <c r="C126" s="68"/>
      <c r="D126" s="69"/>
      <c r="E126" s="69"/>
      <c r="F126" s="71"/>
      <c r="G126" s="90"/>
      <c r="H126" s="114" t="s">
        <v>318</v>
      </c>
      <c r="I126" s="394" t="s">
        <v>174</v>
      </c>
      <c r="J126" s="75">
        <v>250000</v>
      </c>
      <c r="K126" s="76" t="s">
        <v>160</v>
      </c>
      <c r="L126" s="134">
        <v>12</v>
      </c>
      <c r="M126" s="76" t="s">
        <v>167</v>
      </c>
      <c r="N126" s="78"/>
      <c r="O126" s="76"/>
      <c r="P126" s="78" t="s">
        <v>0</v>
      </c>
      <c r="Q126" s="79">
        <f>ROUNDDOWN(J126*L126,-3)</f>
        <v>3000000</v>
      </c>
      <c r="R126" s="358"/>
      <c r="S126" s="455"/>
      <c r="T126" s="383">
        <f>SUMIF($I126,"보",$Q126)</f>
        <v>3000000</v>
      </c>
      <c r="U126" s="375">
        <f>SUMIF($I126,"수",$Q126)</f>
        <v>0</v>
      </c>
      <c r="V126" s="375">
        <f>SUMIF($I126,"잡",$Q126)</f>
        <v>0</v>
      </c>
      <c r="W126" s="375">
        <f>SUMIF($I126,"후(지)",$Q126)</f>
        <v>0</v>
      </c>
      <c r="X126" s="375">
        <f>SUMIF($I126,"후(비)",$Q126)</f>
        <v>0</v>
      </c>
      <c r="Y126" s="377" t="e">
        <f>SUM(#REF!)-#REF!</f>
        <v>#REF!</v>
      </c>
    </row>
    <row r="127" spans="1:29" ht="18" customHeight="1">
      <c r="A127" s="531" t="s">
        <v>86</v>
      </c>
      <c r="B127" s="524"/>
      <c r="C127" s="524"/>
      <c r="D127" s="49">
        <f>D128+D154</f>
        <v>143530</v>
      </c>
      <c r="E127" s="50">
        <f>SUM(T127:X181)*0.001</f>
        <v>166259</v>
      </c>
      <c r="F127" s="66">
        <f>E127-D127</f>
        <v>22729</v>
      </c>
      <c r="G127" s="127"/>
      <c r="H127" s="128"/>
      <c r="I127" s="215"/>
      <c r="J127" s="99"/>
      <c r="K127" s="106"/>
      <c r="L127" s="107"/>
      <c r="M127" s="106"/>
      <c r="N127" s="108"/>
      <c r="O127" s="106"/>
      <c r="P127" s="109"/>
      <c r="Q127" s="110"/>
      <c r="R127" s="355"/>
      <c r="S127" s="454"/>
      <c r="T127" s="405" t="str">
        <f>A127</f>
        <v>03.사업비</v>
      </c>
      <c r="U127" s="371"/>
      <c r="V127" s="371"/>
      <c r="W127" s="371"/>
      <c r="X127" s="371"/>
      <c r="Y127" s="377">
        <f>SUM(T127:X127)-Q127</f>
        <v>0</v>
      </c>
      <c r="AA127" s="88"/>
      <c r="AB127" s="19"/>
      <c r="AC127" s="19"/>
    </row>
    <row r="128" spans="1:29" ht="18" customHeight="1">
      <c r="A128" s="62"/>
      <c r="B128" s="546" t="s">
        <v>87</v>
      </c>
      <c r="C128" s="516"/>
      <c r="D128" s="49">
        <f>SUM(D129:D153)</f>
        <v>126830</v>
      </c>
      <c r="E128" s="50">
        <f>SUM(T128:X153)*0.001</f>
        <v>150419</v>
      </c>
      <c r="F128" s="51">
        <f>E128-D128</f>
        <v>23589</v>
      </c>
      <c r="G128" s="129"/>
      <c r="H128" s="130"/>
      <c r="I128" s="29"/>
      <c r="J128" s="131"/>
      <c r="K128" s="106"/>
      <c r="L128" s="107"/>
      <c r="M128" s="106"/>
      <c r="N128" s="108"/>
      <c r="O128" s="106"/>
      <c r="P128" s="109"/>
      <c r="Q128" s="110"/>
      <c r="R128" s="355"/>
      <c r="S128" s="454"/>
      <c r="T128" s="405" t="str">
        <f>B128</f>
        <v>31.운영비</v>
      </c>
      <c r="U128" s="407"/>
      <c r="V128" s="367"/>
      <c r="W128" s="367"/>
      <c r="X128" s="371"/>
      <c r="Y128" s="377">
        <f>SUM(T128:X128)-Q128</f>
        <v>0</v>
      </c>
      <c r="AA128" s="88"/>
      <c r="AB128" s="19"/>
      <c r="AC128" s="19"/>
    </row>
    <row r="129" spans="1:29" ht="18" customHeight="1">
      <c r="A129" s="62"/>
      <c r="B129" s="132"/>
      <c r="C129" s="68" t="s">
        <v>88</v>
      </c>
      <c r="D129" s="65">
        <v>104294</v>
      </c>
      <c r="E129" s="50">
        <f>SUM(T129:X136)*0.001</f>
        <v>116165</v>
      </c>
      <c r="F129" s="66">
        <f>E129-D129</f>
        <v>11871</v>
      </c>
      <c r="G129" s="335" t="s">
        <v>267</v>
      </c>
      <c r="H129" s="306" t="s">
        <v>285</v>
      </c>
      <c r="I129" s="393"/>
      <c r="J129" s="303"/>
      <c r="K129" s="106"/>
      <c r="L129" s="107"/>
      <c r="M129" s="106"/>
      <c r="N129" s="108"/>
      <c r="O129" s="106"/>
      <c r="P129" s="109"/>
      <c r="Q129" s="110"/>
      <c r="R129" s="355"/>
      <c r="S129" s="445">
        <f>SUM(T129:X132)</f>
        <v>110214000</v>
      </c>
      <c r="T129" s="386" t="str">
        <f>H129</f>
        <v>주부식비</v>
      </c>
      <c r="U129" s="387"/>
      <c r="V129" s="388"/>
      <c r="W129" s="388"/>
      <c r="X129" s="389"/>
      <c r="Y129" s="377">
        <f>SUM(T129:X129)-Q129</f>
        <v>0</v>
      </c>
      <c r="AA129" s="88"/>
      <c r="AB129" s="19"/>
      <c r="AC129" s="19"/>
    </row>
    <row r="130" spans="1:29" ht="18" customHeight="1">
      <c r="A130" s="62"/>
      <c r="B130" s="132"/>
      <c r="C130" s="68"/>
      <c r="D130" s="69"/>
      <c r="E130" s="70"/>
      <c r="F130" s="71"/>
      <c r="G130" s="90"/>
      <c r="H130" s="114" t="s">
        <v>194</v>
      </c>
      <c r="I130" s="394" t="s">
        <v>213</v>
      </c>
      <c r="J130" s="75">
        <v>218000</v>
      </c>
      <c r="K130" s="76" t="s">
        <v>160</v>
      </c>
      <c r="L130" s="77">
        <v>8</v>
      </c>
      <c r="M130" s="76" t="s">
        <v>162</v>
      </c>
      <c r="N130" s="78">
        <v>12</v>
      </c>
      <c r="O130" s="76" t="s">
        <v>167</v>
      </c>
      <c r="P130" s="78" t="s">
        <v>0</v>
      </c>
      <c r="Q130" s="79">
        <f>ROUNDDOWN(J130*L130*N130,-3)</f>
        <v>20928000</v>
      </c>
      <c r="R130" s="359">
        <f>Q130/세입!$Q$9%</f>
        <v>62.64367816091954</v>
      </c>
      <c r="S130" s="458"/>
      <c r="T130" s="383">
        <f>SUMIF($I130,"보",$Q130)</f>
        <v>0</v>
      </c>
      <c r="U130" s="375">
        <f>SUMIF($I130,"수",$Q130)</f>
        <v>20928000</v>
      </c>
      <c r="V130" s="375">
        <f>SUMIF($I130,"잡",$Q130)</f>
        <v>0</v>
      </c>
      <c r="W130" s="375">
        <f>SUMIF($I130,"후(지)",$Q130)</f>
        <v>0</v>
      </c>
      <c r="X130" s="375">
        <f>SUMIF($I130,"후(비)",$Q130)</f>
        <v>0</v>
      </c>
      <c r="Y130" s="377">
        <f>SUM(T129:X129)-Q129</f>
        <v>0</v>
      </c>
      <c r="AA130" s="88"/>
      <c r="AB130" s="19"/>
      <c r="AC130" s="19"/>
    </row>
    <row r="131" spans="1:29" ht="18" customHeight="1">
      <c r="A131" s="62"/>
      <c r="B131" s="132"/>
      <c r="C131" s="68"/>
      <c r="D131" s="69"/>
      <c r="E131" s="69"/>
      <c r="F131" s="71"/>
      <c r="G131" s="90"/>
      <c r="H131" s="114" t="s">
        <v>195</v>
      </c>
      <c r="I131" s="394" t="s">
        <v>174</v>
      </c>
      <c r="J131" s="75">
        <v>250000</v>
      </c>
      <c r="K131" s="76" t="s">
        <v>160</v>
      </c>
      <c r="L131" s="77">
        <f>세입!L16</f>
        <v>29</v>
      </c>
      <c r="M131" s="76" t="s">
        <v>162</v>
      </c>
      <c r="N131" s="78">
        <f>세입!N16</f>
        <v>12</v>
      </c>
      <c r="O131" s="76" t="s">
        <v>167</v>
      </c>
      <c r="P131" s="78" t="s">
        <v>0</v>
      </c>
      <c r="Q131" s="79">
        <f>ROUNDDOWN(J131*L131*N131,-3)</f>
        <v>87000000</v>
      </c>
      <c r="R131" s="360">
        <f>Q131/세입!Q16%</f>
        <v>100</v>
      </c>
      <c r="S131" s="459"/>
      <c r="T131" s="383">
        <f>SUMIF($I131,"보",$Q131)</f>
        <v>87000000</v>
      </c>
      <c r="U131" s="375">
        <f>SUMIF($I131,"수",$Q131)</f>
        <v>0</v>
      </c>
      <c r="V131" s="375">
        <f>SUMIF($I131,"잡",$Q131)</f>
        <v>0</v>
      </c>
      <c r="W131" s="375">
        <f>SUMIF($I131,"후(지)",$Q131)</f>
        <v>0</v>
      </c>
      <c r="X131" s="375">
        <f>SUMIF($I131,"후(비)",$Q131)</f>
        <v>0</v>
      </c>
      <c r="Y131" s="377">
        <f>SUM(T130:X130)-Q130</f>
        <v>0</v>
      </c>
      <c r="AA131" s="88"/>
      <c r="AB131" s="19"/>
      <c r="AC131" s="19"/>
    </row>
    <row r="132" spans="1:29" ht="18" customHeight="1">
      <c r="A132" s="62"/>
      <c r="B132" s="132"/>
      <c r="C132" s="68"/>
      <c r="D132" s="69"/>
      <c r="E132" s="69"/>
      <c r="F132" s="71"/>
      <c r="G132" s="90"/>
      <c r="H132" s="114" t="s">
        <v>196</v>
      </c>
      <c r="I132" s="394" t="s">
        <v>207</v>
      </c>
      <c r="J132" s="75">
        <v>190500</v>
      </c>
      <c r="K132" s="76" t="s">
        <v>160</v>
      </c>
      <c r="L132" s="77">
        <v>12</v>
      </c>
      <c r="M132" s="76" t="s">
        <v>167</v>
      </c>
      <c r="N132" s="78"/>
      <c r="O132" s="76"/>
      <c r="P132" s="78" t="s">
        <v>0</v>
      </c>
      <c r="Q132" s="79">
        <f>ROUNDDOWN(J132*L132,-3)</f>
        <v>2286000</v>
      </c>
      <c r="R132" s="361">
        <v>10</v>
      </c>
      <c r="S132" s="460"/>
      <c r="T132" s="383">
        <f>SUMIF($I132,"보",$Q132)</f>
        <v>0</v>
      </c>
      <c r="U132" s="375">
        <f>SUMIF($I132,"수",$Q132)</f>
        <v>0</v>
      </c>
      <c r="V132" s="375">
        <f>SUMIF($I132,"잡",$Q132)</f>
        <v>2286000</v>
      </c>
      <c r="W132" s="375">
        <f>SUMIF($I132,"후(지)",$Q132)</f>
        <v>0</v>
      </c>
      <c r="X132" s="375">
        <f>SUMIF($I132,"후(비)",$Q132)</f>
        <v>0</v>
      </c>
      <c r="Y132" s="377">
        <f>SUM(T131:X131)-Q131</f>
        <v>0</v>
      </c>
      <c r="AA132" s="88"/>
      <c r="AB132" s="19"/>
      <c r="AC132" s="19"/>
    </row>
    <row r="133" spans="1:29" ht="18" customHeight="1">
      <c r="A133" s="62"/>
      <c r="B133" s="132"/>
      <c r="C133" s="68"/>
      <c r="D133" s="69"/>
      <c r="E133" s="70"/>
      <c r="F133" s="71"/>
      <c r="G133" s="73" t="s">
        <v>267</v>
      </c>
      <c r="H133" s="91" t="s">
        <v>286</v>
      </c>
      <c r="I133" s="395"/>
      <c r="J133" s="221"/>
      <c r="K133" s="76"/>
      <c r="L133" s="77"/>
      <c r="M133" s="76"/>
      <c r="N133" s="78"/>
      <c r="O133" s="76"/>
      <c r="P133" s="126"/>
      <c r="Q133" s="79"/>
      <c r="R133" s="355"/>
      <c r="S133" s="445">
        <f>SUM(T133:X136)</f>
        <v>5951000</v>
      </c>
      <c r="T133" s="386" t="str">
        <f>H133</f>
        <v>생계지원비</v>
      </c>
      <c r="U133" s="387"/>
      <c r="V133" s="388"/>
      <c r="W133" s="388"/>
      <c r="X133" s="389"/>
      <c r="Y133" s="377">
        <f>SUM(T133:X133)-Q133</f>
        <v>0</v>
      </c>
      <c r="AA133" s="88"/>
      <c r="AB133" s="19"/>
      <c r="AC133" s="19"/>
    </row>
    <row r="134" spans="1:29" ht="18" customHeight="1">
      <c r="A134" s="62"/>
      <c r="B134" s="132"/>
      <c r="C134" s="68"/>
      <c r="D134" s="69"/>
      <c r="E134" s="69"/>
      <c r="F134" s="71"/>
      <c r="G134" s="90"/>
      <c r="H134" s="91" t="s">
        <v>32</v>
      </c>
      <c r="I134" s="394" t="s">
        <v>174</v>
      </c>
      <c r="J134" s="75">
        <v>29000</v>
      </c>
      <c r="K134" s="76" t="s">
        <v>160</v>
      </c>
      <c r="L134" s="77">
        <f>세입!L17</f>
        <v>29</v>
      </c>
      <c r="M134" s="76" t="s">
        <v>162</v>
      </c>
      <c r="N134" s="78">
        <f>세입!N17</f>
        <v>1</v>
      </c>
      <c r="O134" s="76" t="s">
        <v>169</v>
      </c>
      <c r="P134" s="78" t="s">
        <v>0</v>
      </c>
      <c r="Q134" s="79">
        <f>ROUNDDOWN(J134*L134*N134,-3)</f>
        <v>841000</v>
      </c>
      <c r="R134" s="362"/>
      <c r="S134" s="459"/>
      <c r="T134" s="383">
        <f>SUMIF($I134,"보",$Q134)</f>
        <v>841000</v>
      </c>
      <c r="U134" s="375">
        <f>SUMIF($I134,"수",$Q134)</f>
        <v>0</v>
      </c>
      <c r="V134" s="375">
        <f>SUMIF($I134,"잡",$Q134)</f>
        <v>0</v>
      </c>
      <c r="W134" s="375">
        <f>SUMIF($I134,"후(지)",$Q134)</f>
        <v>0</v>
      </c>
      <c r="X134" s="375">
        <f>SUMIF($I134,"후(비)",$Q134)</f>
        <v>0</v>
      </c>
      <c r="Y134" s="377">
        <f>SUM(T134:X134)-Q134</f>
        <v>0</v>
      </c>
      <c r="AA134" s="88"/>
      <c r="AB134" s="19"/>
      <c r="AC134" s="19"/>
    </row>
    <row r="135" spans="1:29" ht="18" customHeight="1">
      <c r="A135" s="62"/>
      <c r="B135" s="132"/>
      <c r="C135" s="68"/>
      <c r="D135" s="69"/>
      <c r="E135" s="69"/>
      <c r="F135" s="71"/>
      <c r="G135" s="90"/>
      <c r="H135" s="91" t="s">
        <v>216</v>
      </c>
      <c r="I135" s="394" t="s">
        <v>174</v>
      </c>
      <c r="J135" s="75">
        <v>35000</v>
      </c>
      <c r="K135" s="76" t="s">
        <v>160</v>
      </c>
      <c r="L135" s="77">
        <f>세입!L18</f>
        <v>29</v>
      </c>
      <c r="M135" s="76" t="s">
        <v>162</v>
      </c>
      <c r="N135" s="78">
        <f>세입!N18</f>
        <v>2</v>
      </c>
      <c r="O135" s="76" t="s">
        <v>169</v>
      </c>
      <c r="P135" s="78" t="s">
        <v>0</v>
      </c>
      <c r="Q135" s="79">
        <f>ROUNDDOWN(J135*L135*N135,-3)</f>
        <v>2030000</v>
      </c>
      <c r="R135" s="362"/>
      <c r="S135" s="459"/>
      <c r="T135" s="383">
        <f>SUMIF($I135,"보",$Q135)</f>
        <v>2030000</v>
      </c>
      <c r="U135" s="375">
        <f>SUMIF($I135,"수",$Q135)</f>
        <v>0</v>
      </c>
      <c r="V135" s="375">
        <f>SUMIF($I135,"잡",$Q135)</f>
        <v>0</v>
      </c>
      <c r="W135" s="375">
        <f>SUMIF($I135,"후(지)",$Q135)</f>
        <v>0</v>
      </c>
      <c r="X135" s="375">
        <f>SUMIF($I135,"후(비)",$Q135)</f>
        <v>0</v>
      </c>
      <c r="Y135" s="377">
        <f>SUM(T135:X135)-Q135</f>
        <v>0</v>
      </c>
      <c r="AA135" s="88"/>
      <c r="AB135" s="19"/>
      <c r="AC135" s="19"/>
    </row>
    <row r="136" spans="1:29" ht="18" customHeight="1">
      <c r="A136" s="62"/>
      <c r="B136" s="132"/>
      <c r="C136" s="68"/>
      <c r="D136" s="69"/>
      <c r="E136" s="69"/>
      <c r="F136" s="71"/>
      <c r="G136" s="90"/>
      <c r="H136" s="91" t="s">
        <v>127</v>
      </c>
      <c r="I136" s="394" t="s">
        <v>213</v>
      </c>
      <c r="J136" s="75">
        <v>3080000</v>
      </c>
      <c r="K136" s="76" t="s">
        <v>160</v>
      </c>
      <c r="L136" s="77">
        <v>1</v>
      </c>
      <c r="M136" s="76" t="s">
        <v>172</v>
      </c>
      <c r="N136" s="78"/>
      <c r="O136" s="76"/>
      <c r="P136" s="78" t="s">
        <v>0</v>
      </c>
      <c r="Q136" s="79">
        <f>ROUNDDOWN(J136*L136,-3)</f>
        <v>3080000</v>
      </c>
      <c r="R136" s="363">
        <f>Q136/세입!$Q$9%</f>
        <v>9.219348659003831</v>
      </c>
      <c r="S136" s="458"/>
      <c r="T136" s="383">
        <f>SUMIF($I136,"보",$Q136)</f>
        <v>0</v>
      </c>
      <c r="U136" s="375">
        <f>SUMIF($I136,"수",$Q136)</f>
        <v>3080000</v>
      </c>
      <c r="V136" s="375">
        <f>SUMIF($I136,"잡",$Q136)</f>
        <v>0</v>
      </c>
      <c r="W136" s="375">
        <f>SUMIF($I136,"후(지)",$Q136)</f>
        <v>0</v>
      </c>
      <c r="X136" s="375">
        <f>SUMIF($I136,"후(비)",$Q136)</f>
        <v>0</v>
      </c>
      <c r="Y136" s="377">
        <f>SUM(T136:X136)-Q136</f>
        <v>0</v>
      </c>
      <c r="AA136" s="88"/>
      <c r="AB136" s="19"/>
      <c r="AC136" s="19"/>
    </row>
    <row r="137" spans="1:29" ht="18.75" customHeight="1">
      <c r="A137" s="62"/>
      <c r="B137" s="135"/>
      <c r="C137" s="64" t="s">
        <v>95</v>
      </c>
      <c r="D137" s="65">
        <v>6432</v>
      </c>
      <c r="E137" s="50">
        <f>SUM(T137:X140)*0.001</f>
        <v>8400</v>
      </c>
      <c r="F137" s="66">
        <f>E137-D137</f>
        <v>1968</v>
      </c>
      <c r="G137" s="335" t="s">
        <v>267</v>
      </c>
      <c r="H137" s="306" t="s">
        <v>287</v>
      </c>
      <c r="I137" s="393"/>
      <c r="J137" s="303"/>
      <c r="K137" s="106"/>
      <c r="L137" s="107"/>
      <c r="M137" s="106"/>
      <c r="N137" s="108"/>
      <c r="O137" s="106"/>
      <c r="P137" s="109"/>
      <c r="Q137" s="110"/>
      <c r="R137" s="355"/>
      <c r="S137" s="445">
        <f>SUM(T137:X138)</f>
        <v>4800000</v>
      </c>
      <c r="T137" s="386" t="str">
        <f>H137</f>
        <v>생활기관경비</v>
      </c>
      <c r="U137" s="387"/>
      <c r="V137" s="388"/>
      <c r="W137" s="388"/>
      <c r="X137" s="389"/>
      <c r="Y137" s="377">
        <f>SUM(T137:X137)-Q137</f>
        <v>0</v>
      </c>
      <c r="AA137" s="88"/>
      <c r="AB137" s="19"/>
      <c r="AC137" s="19"/>
    </row>
    <row r="138" spans="1:29" ht="18.75" customHeight="1">
      <c r="A138" s="62"/>
      <c r="B138" s="135"/>
      <c r="C138" s="68"/>
      <c r="D138" s="69"/>
      <c r="E138" s="70"/>
      <c r="F138" s="71"/>
      <c r="G138" s="90"/>
      <c r="H138" s="91" t="s">
        <v>153</v>
      </c>
      <c r="I138" s="394" t="s">
        <v>213</v>
      </c>
      <c r="J138" s="75">
        <v>100000</v>
      </c>
      <c r="K138" s="76" t="s">
        <v>160</v>
      </c>
      <c r="L138" s="77">
        <v>12</v>
      </c>
      <c r="M138" s="76" t="s">
        <v>183</v>
      </c>
      <c r="N138" s="78">
        <v>4</v>
      </c>
      <c r="O138" s="76" t="s">
        <v>197</v>
      </c>
      <c r="P138" s="78" t="s">
        <v>0</v>
      </c>
      <c r="Q138" s="79">
        <f>ROUNDDOWN(J138*L138*N138,-3)</f>
        <v>4800000</v>
      </c>
      <c r="R138" s="363">
        <f>Q138/세입!$Q$9%</f>
        <v>14.367816091954023</v>
      </c>
      <c r="S138" s="458"/>
      <c r="T138" s="383">
        <f>SUMIF($I138,"보",$Q138)</f>
        <v>0</v>
      </c>
      <c r="U138" s="375">
        <f>SUMIF($I138,"수",$Q138)</f>
        <v>4800000</v>
      </c>
      <c r="V138" s="375">
        <f>SUMIF($I138,"잡",$Q138)</f>
        <v>0</v>
      </c>
      <c r="W138" s="375">
        <f>SUMIF($I138,"후(지)",$Q138)</f>
        <v>0</v>
      </c>
      <c r="X138" s="375">
        <f>SUMIF($I138,"후(비)",$Q138)</f>
        <v>0</v>
      </c>
      <c r="Y138" s="377">
        <f>SUM(T137:X137)-Q137</f>
        <v>0</v>
      </c>
      <c r="AA138" s="88"/>
      <c r="AB138" s="19"/>
      <c r="AC138" s="19"/>
    </row>
    <row r="139" spans="1:29" ht="18.75" customHeight="1">
      <c r="A139" s="62"/>
      <c r="B139" s="135"/>
      <c r="C139" s="68"/>
      <c r="D139" s="69"/>
      <c r="E139" s="70"/>
      <c r="F139" s="71"/>
      <c r="G139" s="73" t="s">
        <v>267</v>
      </c>
      <c r="H139" s="91" t="s">
        <v>288</v>
      </c>
      <c r="I139" s="395"/>
      <c r="J139" s="221"/>
      <c r="K139" s="76"/>
      <c r="L139" s="77"/>
      <c r="M139" s="76"/>
      <c r="N139" s="78"/>
      <c r="O139" s="76"/>
      <c r="P139" s="126"/>
      <c r="Q139" s="79"/>
      <c r="R139" s="355"/>
      <c r="S139" s="445">
        <f>SUM(T139:X140)</f>
        <v>3600000</v>
      </c>
      <c r="T139" s="386" t="str">
        <f>H139</f>
        <v>주방기관경비</v>
      </c>
      <c r="U139" s="387"/>
      <c r="V139" s="388"/>
      <c r="W139" s="388"/>
      <c r="X139" s="389"/>
      <c r="Y139" s="377">
        <f>SUM(T139:X139)-Q139</f>
        <v>0</v>
      </c>
      <c r="AA139" s="88"/>
      <c r="AB139" s="19"/>
      <c r="AC139" s="19"/>
    </row>
    <row r="140" spans="1:29" ht="18.75" customHeight="1">
      <c r="A140" s="62"/>
      <c r="B140" s="135"/>
      <c r="C140" s="68"/>
      <c r="D140" s="69"/>
      <c r="E140" s="69"/>
      <c r="F140" s="71"/>
      <c r="G140" s="90"/>
      <c r="H140" s="91" t="s">
        <v>201</v>
      </c>
      <c r="I140" s="394" t="s">
        <v>213</v>
      </c>
      <c r="J140" s="75">
        <v>300000</v>
      </c>
      <c r="K140" s="76" t="s">
        <v>160</v>
      </c>
      <c r="L140" s="77">
        <v>12</v>
      </c>
      <c r="M140" s="76" t="s">
        <v>167</v>
      </c>
      <c r="N140" s="78"/>
      <c r="O140" s="76"/>
      <c r="P140" s="78" t="s">
        <v>0</v>
      </c>
      <c r="Q140" s="79">
        <f>ROUNDDOWN(J140*L140,-3)</f>
        <v>3600000</v>
      </c>
      <c r="R140" s="363">
        <f>Q140/세입!$Q$9%</f>
        <v>10.775862068965518</v>
      </c>
      <c r="S140" s="458"/>
      <c r="T140" s="383">
        <f>SUMIF($I140,"보",$Q140)</f>
        <v>0</v>
      </c>
      <c r="U140" s="375">
        <f>SUMIF($I140,"수",$Q140)</f>
        <v>3600000</v>
      </c>
      <c r="V140" s="375">
        <f>SUMIF($I140,"잡",$Q140)</f>
        <v>0</v>
      </c>
      <c r="W140" s="375">
        <f>SUMIF($I140,"후(지)",$Q140)</f>
        <v>0</v>
      </c>
      <c r="X140" s="375">
        <f>SUMIF($I140,"후(비)",$Q140)</f>
        <v>0</v>
      </c>
      <c r="Y140" s="377">
        <f>SUM(T140:X140)-Q140</f>
        <v>0</v>
      </c>
      <c r="AA140" s="88"/>
      <c r="AB140" s="19"/>
      <c r="AC140" s="19"/>
    </row>
    <row r="141" spans="1:29" ht="18.75" customHeight="1">
      <c r="A141" s="62"/>
      <c r="B141" s="132"/>
      <c r="C141" s="64" t="s">
        <v>332</v>
      </c>
      <c r="D141" s="65">
        <v>2000</v>
      </c>
      <c r="E141" s="50">
        <f>SUM(T141:X142)*0.001</f>
        <v>0</v>
      </c>
      <c r="F141" s="66">
        <v>1000</v>
      </c>
      <c r="G141" s="485" t="s">
        <v>333</v>
      </c>
      <c r="H141" s="306" t="s">
        <v>334</v>
      </c>
      <c r="I141" s="396"/>
      <c r="J141" s="316"/>
      <c r="K141" s="106"/>
      <c r="L141" s="107"/>
      <c r="M141" s="106"/>
      <c r="N141" s="108"/>
      <c r="O141" s="106"/>
      <c r="P141" s="108"/>
      <c r="Q141" s="110"/>
      <c r="R141" s="363"/>
      <c r="S141" s="484"/>
      <c r="T141" s="383" t="s">
        <v>334</v>
      </c>
      <c r="U141" s="375"/>
      <c r="V141" s="376"/>
      <c r="W141" s="376"/>
      <c r="X141" s="376"/>
      <c r="Y141" s="377"/>
      <c r="AA141" s="88"/>
      <c r="AB141" s="19"/>
      <c r="AC141" s="19"/>
    </row>
    <row r="142" spans="1:29" ht="18.75" customHeight="1">
      <c r="A142" s="62"/>
      <c r="B142" s="132"/>
      <c r="C142" s="68"/>
      <c r="D142" s="69"/>
      <c r="E142" s="69"/>
      <c r="F142" s="71"/>
      <c r="G142" s="90"/>
      <c r="H142" s="91" t="s">
        <v>335</v>
      </c>
      <c r="I142" s="394"/>
      <c r="J142" s="75">
        <v>0</v>
      </c>
      <c r="K142" s="76" t="s">
        <v>160</v>
      </c>
      <c r="L142" s="77">
        <v>1</v>
      </c>
      <c r="M142" s="76" t="s">
        <v>172</v>
      </c>
      <c r="N142" s="78"/>
      <c r="O142" s="76"/>
      <c r="P142" s="78" t="s">
        <v>336</v>
      </c>
      <c r="Q142" s="79">
        <f>ROUNDDOWN(J142*L142,-3)</f>
        <v>0</v>
      </c>
      <c r="R142" s="363"/>
      <c r="S142" s="483"/>
      <c r="T142" s="383">
        <f>SUMIF($I142,"보",$Q142)</f>
        <v>0</v>
      </c>
      <c r="U142" s="375">
        <f>SUMIF($I142,"수",$Q142)</f>
        <v>0</v>
      </c>
      <c r="V142" s="375">
        <f>SUMIF($I142,"잡",$Q142)</f>
        <v>0</v>
      </c>
      <c r="W142" s="375">
        <f>SUMIF($I142,"후(지)",$Q142)</f>
        <v>0</v>
      </c>
      <c r="X142" s="375">
        <f>SUMIF($I142,"후(비)",$Q142)</f>
        <v>0</v>
      </c>
      <c r="Y142" s="377"/>
      <c r="AA142" s="88"/>
      <c r="AB142" s="19"/>
      <c r="AC142" s="19"/>
    </row>
    <row r="143" spans="1:29" ht="18" customHeight="1">
      <c r="A143" s="62"/>
      <c r="B143" s="132"/>
      <c r="C143" s="64" t="s">
        <v>89</v>
      </c>
      <c r="D143" s="65">
        <v>1720</v>
      </c>
      <c r="E143" s="50">
        <f>SUM(T143:X146)*0.001</f>
        <v>2680</v>
      </c>
      <c r="F143" s="66">
        <f>E143-D143</f>
        <v>960</v>
      </c>
      <c r="G143" s="335" t="s">
        <v>267</v>
      </c>
      <c r="H143" s="306" t="s">
        <v>308</v>
      </c>
      <c r="I143" s="393"/>
      <c r="J143" s="303"/>
      <c r="K143" s="106"/>
      <c r="L143" s="107"/>
      <c r="M143" s="106"/>
      <c r="N143" s="108"/>
      <c r="O143" s="106"/>
      <c r="P143" s="109"/>
      <c r="Q143" s="110"/>
      <c r="R143" s="355"/>
      <c r="S143" s="445">
        <f>SUM(T143:X144)</f>
        <v>1000000</v>
      </c>
      <c r="T143" s="386" t="str">
        <f>H143</f>
        <v>의료보건비 </v>
      </c>
      <c r="U143" s="387"/>
      <c r="V143" s="388"/>
      <c r="W143" s="388"/>
      <c r="X143" s="389"/>
      <c r="Y143" s="377" t="e">
        <f>SUM(#REF!)-#REF!</f>
        <v>#REF!</v>
      </c>
      <c r="AA143" s="88"/>
      <c r="AB143" s="19"/>
      <c r="AC143" s="19"/>
    </row>
    <row r="144" spans="1:29" ht="18" customHeight="1">
      <c r="A144" s="101"/>
      <c r="B144" s="135"/>
      <c r="C144" s="136"/>
      <c r="D144" s="69"/>
      <c r="E144" s="69"/>
      <c r="F144" s="71"/>
      <c r="G144" s="90"/>
      <c r="H144" s="91" t="s">
        <v>250</v>
      </c>
      <c r="I144" s="394" t="s">
        <v>214</v>
      </c>
      <c r="J144" s="75">
        <v>1000000</v>
      </c>
      <c r="K144" s="76" t="s">
        <v>160</v>
      </c>
      <c r="L144" s="77">
        <v>1</v>
      </c>
      <c r="M144" s="76" t="s">
        <v>172</v>
      </c>
      <c r="N144" s="78"/>
      <c r="O144" s="76"/>
      <c r="P144" s="78" t="s">
        <v>0</v>
      </c>
      <c r="Q144" s="79">
        <f>ROUNDDOWN(J144*L144,-3)</f>
        <v>1000000</v>
      </c>
      <c r="R144" s="356"/>
      <c r="S144" s="455"/>
      <c r="T144" s="383">
        <f>SUMIF($I144,"보",$Q144)</f>
        <v>0</v>
      </c>
      <c r="U144" s="375">
        <f>SUMIF($I144,"수",$Q144)</f>
        <v>0</v>
      </c>
      <c r="V144" s="375">
        <f>SUMIF($I144,"잡",$Q144)</f>
        <v>0</v>
      </c>
      <c r="W144" s="375">
        <f>SUMIF($I144,"후(지)",$Q144)</f>
        <v>0</v>
      </c>
      <c r="X144" s="375">
        <f>SUMIF($I144,"후(비)",$Q144)</f>
        <v>1000000</v>
      </c>
      <c r="Y144" s="377">
        <f>SUM(T143:X143)-Q143</f>
        <v>0</v>
      </c>
      <c r="AA144" s="88"/>
      <c r="AB144" s="19"/>
      <c r="AC144" s="19"/>
    </row>
    <row r="145" spans="1:29" ht="18" customHeight="1">
      <c r="A145" s="101"/>
      <c r="B145" s="135"/>
      <c r="C145" s="136"/>
      <c r="D145" s="69"/>
      <c r="E145" s="69"/>
      <c r="F145" s="71"/>
      <c r="G145" s="73" t="s">
        <v>267</v>
      </c>
      <c r="H145" s="91" t="s">
        <v>289</v>
      </c>
      <c r="I145" s="395"/>
      <c r="J145" s="221"/>
      <c r="K145" s="76"/>
      <c r="L145" s="77"/>
      <c r="M145" s="76"/>
      <c r="N145" s="78"/>
      <c r="O145" s="76"/>
      <c r="P145" s="126"/>
      <c r="Q145" s="79"/>
      <c r="R145" s="355"/>
      <c r="S145" s="445">
        <f>SUM(T145:X146)</f>
        <v>1680000</v>
      </c>
      <c r="T145" s="386" t="str">
        <f>H145</f>
        <v>물리치료비 </v>
      </c>
      <c r="U145" s="387"/>
      <c r="V145" s="388"/>
      <c r="W145" s="388"/>
      <c r="X145" s="389"/>
      <c r="Y145" s="377">
        <f>SUM(T144:X144)-Q144</f>
        <v>0</v>
      </c>
      <c r="AA145" s="88"/>
      <c r="AB145" s="19"/>
      <c r="AC145" s="19"/>
    </row>
    <row r="146" spans="1:29" ht="18" customHeight="1">
      <c r="A146" s="101"/>
      <c r="B146" s="135"/>
      <c r="C146" s="136"/>
      <c r="D146" s="69"/>
      <c r="E146" s="69"/>
      <c r="F146" s="71"/>
      <c r="G146" s="90"/>
      <c r="H146" s="91" t="s">
        <v>323</v>
      </c>
      <c r="I146" s="394" t="s">
        <v>214</v>
      </c>
      <c r="J146" s="75">
        <v>140000</v>
      </c>
      <c r="K146" s="76" t="s">
        <v>160</v>
      </c>
      <c r="L146" s="77">
        <v>12</v>
      </c>
      <c r="M146" s="76" t="s">
        <v>167</v>
      </c>
      <c r="N146" s="78"/>
      <c r="O146" s="76"/>
      <c r="P146" s="78" t="s">
        <v>0</v>
      </c>
      <c r="Q146" s="79">
        <f>ROUNDDOWN(J146*L146,-3)</f>
        <v>1680000</v>
      </c>
      <c r="R146" s="356"/>
      <c r="S146" s="455"/>
      <c r="T146" s="383">
        <f>SUMIF($I146,"보",$Q146)</f>
        <v>0</v>
      </c>
      <c r="U146" s="375">
        <f>SUMIF($I146,"수",$Q146)</f>
        <v>0</v>
      </c>
      <c r="V146" s="375">
        <f>SUMIF($I146,"잡",$Q146)</f>
        <v>0</v>
      </c>
      <c r="W146" s="375">
        <f>SUMIF($I146,"후(지)",$Q146)</f>
        <v>0</v>
      </c>
      <c r="X146" s="375">
        <f>SUMIF($I146,"후(비)",$Q146)</f>
        <v>1680000</v>
      </c>
      <c r="Y146" s="377">
        <f>SUM(T145:X145)-Q145</f>
        <v>0</v>
      </c>
      <c r="AA146" s="88"/>
      <c r="AB146" s="19"/>
      <c r="AC146" s="19"/>
    </row>
    <row r="147" spans="1:29" ht="18" customHeight="1">
      <c r="A147" s="62"/>
      <c r="B147" s="132"/>
      <c r="C147" s="64" t="s">
        <v>143</v>
      </c>
      <c r="D147" s="65">
        <v>800</v>
      </c>
      <c r="E147" s="50">
        <f>SUM(T147:X148)*0.001</f>
        <v>1600</v>
      </c>
      <c r="F147" s="66">
        <f>E147-D147</f>
        <v>800</v>
      </c>
      <c r="G147" s="335" t="s">
        <v>267</v>
      </c>
      <c r="H147" s="306" t="s">
        <v>144</v>
      </c>
      <c r="I147" s="393"/>
      <c r="J147" s="303"/>
      <c r="K147" s="106"/>
      <c r="L147" s="107"/>
      <c r="M147" s="106"/>
      <c r="N147" s="108"/>
      <c r="O147" s="106"/>
      <c r="P147" s="109"/>
      <c r="Q147" s="110"/>
      <c r="R147" s="355"/>
      <c r="S147" s="445">
        <f>SUM(T147:X148)</f>
        <v>1600000</v>
      </c>
      <c r="T147" s="386" t="str">
        <f>H147</f>
        <v>장의비</v>
      </c>
      <c r="U147" s="387"/>
      <c r="V147" s="388"/>
      <c r="W147" s="388"/>
      <c r="X147" s="389"/>
      <c r="Y147" s="377">
        <f>SUM(T146:X146)-Q146</f>
        <v>0</v>
      </c>
      <c r="AA147" s="88"/>
      <c r="AB147" s="19"/>
      <c r="AC147" s="19"/>
    </row>
    <row r="148" spans="1:29" ht="18" customHeight="1">
      <c r="A148" s="101"/>
      <c r="B148" s="132"/>
      <c r="C148" s="68"/>
      <c r="D148" s="69"/>
      <c r="E148" s="70"/>
      <c r="F148" s="71"/>
      <c r="G148" s="87"/>
      <c r="H148" s="114" t="s">
        <v>144</v>
      </c>
      <c r="I148" s="394" t="s">
        <v>174</v>
      </c>
      <c r="J148" s="75">
        <f>세입!J25</f>
        <v>800000</v>
      </c>
      <c r="K148" s="76" t="s">
        <v>160</v>
      </c>
      <c r="L148" s="77">
        <f>세입!L25</f>
        <v>2</v>
      </c>
      <c r="M148" s="76" t="s">
        <v>165</v>
      </c>
      <c r="N148" s="78"/>
      <c r="O148" s="76"/>
      <c r="P148" s="78" t="s">
        <v>0</v>
      </c>
      <c r="Q148" s="79">
        <f>ROUNDDOWN(J148*L148,-3)</f>
        <v>1600000</v>
      </c>
      <c r="R148" s="356"/>
      <c r="S148" s="455"/>
      <c r="T148" s="383">
        <f>SUMIF($I148,"보",$Q148)</f>
        <v>1600000</v>
      </c>
      <c r="U148" s="375">
        <f>SUMIF($I148,"수",$Q148)</f>
        <v>0</v>
      </c>
      <c r="V148" s="375">
        <f>SUMIF($I148,"잡",$Q148)</f>
        <v>0</v>
      </c>
      <c r="W148" s="375">
        <f>SUMIF($I148,"후(지)",$Q148)</f>
        <v>0</v>
      </c>
      <c r="X148" s="375">
        <f>SUMIF($I148,"후(비)",$Q148)</f>
        <v>0</v>
      </c>
      <c r="Y148" s="377">
        <f>SUM(T147:X147)-Q147</f>
        <v>0</v>
      </c>
      <c r="AA148" s="88"/>
      <c r="AB148" s="19"/>
      <c r="AC148" s="19"/>
    </row>
    <row r="149" spans="1:29" ht="18" customHeight="1">
      <c r="A149" s="62"/>
      <c r="B149" s="135"/>
      <c r="C149" s="64" t="s">
        <v>98</v>
      </c>
      <c r="D149" s="65">
        <v>6292</v>
      </c>
      <c r="E149" s="50">
        <f>SUM(T149:X151)*0.001</f>
        <v>15859</v>
      </c>
      <c r="F149" s="66">
        <f>E149-D149</f>
        <v>9567</v>
      </c>
      <c r="G149" s="335" t="s">
        <v>267</v>
      </c>
      <c r="H149" s="306" t="s">
        <v>290</v>
      </c>
      <c r="I149" s="393"/>
      <c r="J149" s="303"/>
      <c r="K149" s="106"/>
      <c r="L149" s="107"/>
      <c r="M149" s="106"/>
      <c r="N149" s="108"/>
      <c r="O149" s="106"/>
      <c r="P149" s="109"/>
      <c r="Q149" s="110"/>
      <c r="R149" s="355"/>
      <c r="S149" s="445">
        <f>SUM(T149:X151)</f>
        <v>15859000</v>
      </c>
      <c r="T149" s="386" t="str">
        <f>H149</f>
        <v>특별급식비</v>
      </c>
      <c r="U149" s="387"/>
      <c r="V149" s="388"/>
      <c r="W149" s="388"/>
      <c r="X149" s="389"/>
      <c r="Y149" s="377" t="e">
        <f>SUM(#REF!)-#REF!</f>
        <v>#REF!</v>
      </c>
      <c r="AA149" s="88"/>
      <c r="AB149" s="19"/>
      <c r="AC149" s="19"/>
    </row>
    <row r="150" spans="1:29" ht="18" customHeight="1">
      <c r="A150" s="62"/>
      <c r="B150" s="132"/>
      <c r="C150" s="68"/>
      <c r="D150" s="69"/>
      <c r="E150" s="70"/>
      <c r="F150" s="71"/>
      <c r="G150" s="90"/>
      <c r="H150" s="91" t="s">
        <v>260</v>
      </c>
      <c r="I150" s="394" t="s">
        <v>213</v>
      </c>
      <c r="J150" s="75">
        <v>500000</v>
      </c>
      <c r="K150" s="76" t="s">
        <v>160</v>
      </c>
      <c r="L150" s="77">
        <v>2</v>
      </c>
      <c r="M150" s="76" t="s">
        <v>169</v>
      </c>
      <c r="N150" s="78"/>
      <c r="O150" s="76"/>
      <c r="P150" s="78" t="s">
        <v>0</v>
      </c>
      <c r="Q150" s="79">
        <f>ROUNDDOWN(J150*L150,-3)</f>
        <v>1000000</v>
      </c>
      <c r="R150" s="363">
        <f>Q150/세입!$Q$9%</f>
        <v>2.993295019157088</v>
      </c>
      <c r="S150" s="458"/>
      <c r="T150" s="383">
        <f>SUMIF($I150,"보",$Q150)</f>
        <v>0</v>
      </c>
      <c r="U150" s="375">
        <f>SUMIF($I150,"수",$Q150)</f>
        <v>1000000</v>
      </c>
      <c r="V150" s="375">
        <f>SUMIF($I150,"잡",$Q150)</f>
        <v>0</v>
      </c>
      <c r="W150" s="375">
        <f>SUMIF($I150,"후(지)",$Q150)</f>
        <v>0</v>
      </c>
      <c r="X150" s="375">
        <f>SUMIF($I150,"후(비)",$Q150)</f>
        <v>0</v>
      </c>
      <c r="Y150" s="377">
        <f>SUM(T149:X149)-Q149</f>
        <v>0</v>
      </c>
      <c r="AA150" s="88"/>
      <c r="AB150" s="19"/>
      <c r="AC150" s="19"/>
    </row>
    <row r="151" spans="1:29" ht="18" customHeight="1">
      <c r="A151" s="62"/>
      <c r="B151" s="132"/>
      <c r="C151" s="68"/>
      <c r="D151" s="69"/>
      <c r="E151" s="69"/>
      <c r="F151" s="71"/>
      <c r="G151" s="90"/>
      <c r="H151" s="114" t="s">
        <v>259</v>
      </c>
      <c r="I151" s="394" t="s">
        <v>208</v>
      </c>
      <c r="J151" s="75">
        <v>1238250</v>
      </c>
      <c r="K151" s="76" t="s">
        <v>160</v>
      </c>
      <c r="L151" s="77">
        <v>12</v>
      </c>
      <c r="M151" s="76" t="s">
        <v>167</v>
      </c>
      <c r="N151" s="78"/>
      <c r="O151" s="76"/>
      <c r="P151" s="78" t="s">
        <v>0</v>
      </c>
      <c r="Q151" s="79">
        <f>ROUNDDOWN(J151*L151,-3)</f>
        <v>14859000</v>
      </c>
      <c r="R151" s="361">
        <v>65</v>
      </c>
      <c r="S151" s="460"/>
      <c r="T151" s="383">
        <f>SUMIF($I151,"보",$Q151)</f>
        <v>0</v>
      </c>
      <c r="U151" s="375">
        <f>SUMIF($I151,"수",$Q151)</f>
        <v>0</v>
      </c>
      <c r="V151" s="375">
        <f>SUMIF($I151,"잡",$Q151)</f>
        <v>14859000</v>
      </c>
      <c r="W151" s="375">
        <f>SUMIF($I151,"후(지)",$Q151)</f>
        <v>0</v>
      </c>
      <c r="X151" s="375">
        <f>SUMIF($I151,"후(비)",$Q151)</f>
        <v>0</v>
      </c>
      <c r="Y151" s="377">
        <f>SUM(T150:X150)-Q150</f>
        <v>0</v>
      </c>
      <c r="AA151" s="88"/>
      <c r="AB151" s="19"/>
      <c r="AC151" s="19"/>
    </row>
    <row r="152" spans="1:29" ht="18" customHeight="1">
      <c r="A152" s="62"/>
      <c r="B152" s="132"/>
      <c r="C152" s="64" t="s">
        <v>90</v>
      </c>
      <c r="D152" s="65">
        <v>5292</v>
      </c>
      <c r="E152" s="50">
        <f>SUM(T152:X153)*0.001</f>
        <v>5715</v>
      </c>
      <c r="F152" s="66">
        <f>E152-D152</f>
        <v>423</v>
      </c>
      <c r="G152" s="335" t="s">
        <v>267</v>
      </c>
      <c r="H152" s="306" t="s">
        <v>292</v>
      </c>
      <c r="I152" s="393"/>
      <c r="J152" s="303"/>
      <c r="K152" s="106"/>
      <c r="L152" s="107"/>
      <c r="M152" s="106"/>
      <c r="N152" s="108"/>
      <c r="O152" s="106"/>
      <c r="P152" s="109"/>
      <c r="Q152" s="110"/>
      <c r="R152" s="355"/>
      <c r="S152" s="445">
        <f>SUM(T152:X153)</f>
        <v>5715000</v>
      </c>
      <c r="T152" s="386" t="str">
        <f>H152</f>
        <v>취사연료비</v>
      </c>
      <c r="U152" s="387"/>
      <c r="V152" s="388"/>
      <c r="W152" s="388"/>
      <c r="X152" s="389"/>
      <c r="Y152" s="377">
        <f>SUM(T151:X151)-Q151</f>
        <v>0</v>
      </c>
      <c r="AA152" s="88"/>
      <c r="AB152" s="19"/>
      <c r="AC152" s="19"/>
    </row>
    <row r="153" spans="1:29" ht="18" customHeight="1">
      <c r="A153" s="62"/>
      <c r="B153" s="132"/>
      <c r="C153" s="68"/>
      <c r="D153" s="69"/>
      <c r="E153" s="70"/>
      <c r="F153" s="71"/>
      <c r="G153" s="115"/>
      <c r="H153" s="114" t="s">
        <v>293</v>
      </c>
      <c r="I153" s="394" t="s">
        <v>207</v>
      </c>
      <c r="J153" s="75">
        <v>476250</v>
      </c>
      <c r="K153" s="76" t="s">
        <v>160</v>
      </c>
      <c r="L153" s="77">
        <v>12</v>
      </c>
      <c r="M153" s="76" t="s">
        <v>167</v>
      </c>
      <c r="N153" s="78"/>
      <c r="O153" s="76"/>
      <c r="P153" s="78" t="s">
        <v>0</v>
      </c>
      <c r="Q153" s="79">
        <f>ROUNDDOWN(J153*L153,-3)</f>
        <v>5715000</v>
      </c>
      <c r="R153" s="361">
        <v>25</v>
      </c>
      <c r="S153" s="460"/>
      <c r="T153" s="383">
        <f>SUMIF($I153,"보",$Q153)</f>
        <v>0</v>
      </c>
      <c r="U153" s="375">
        <f>SUMIF($I153,"수",$Q153)</f>
        <v>0</v>
      </c>
      <c r="V153" s="375">
        <f>SUMIF($I153,"잡",$Q153)</f>
        <v>5715000</v>
      </c>
      <c r="W153" s="375">
        <f>SUMIF($I153,"후(지)",$Q153)</f>
        <v>0</v>
      </c>
      <c r="X153" s="375">
        <f>SUMIF($I153,"후(비)",$Q153)</f>
        <v>0</v>
      </c>
      <c r="Y153" s="377">
        <f>SUM(T152:X152)-Q152</f>
        <v>0</v>
      </c>
      <c r="AA153" s="88"/>
      <c r="AB153" s="19"/>
      <c r="AC153" s="19"/>
    </row>
    <row r="154" spans="1:29" ht="18" customHeight="1">
      <c r="A154" s="62"/>
      <c r="B154" s="546" t="s">
        <v>149</v>
      </c>
      <c r="C154" s="516"/>
      <c r="D154" s="49">
        <f>SUM(D155:D181)</f>
        <v>16700</v>
      </c>
      <c r="E154" s="50">
        <f>SUM(T154:X181)*0.001</f>
        <v>15840</v>
      </c>
      <c r="F154" s="51">
        <f>E154-D154</f>
        <v>-860</v>
      </c>
      <c r="G154" s="129"/>
      <c r="H154" s="384"/>
      <c r="I154" s="402"/>
      <c r="J154" s="347"/>
      <c r="K154" s="106"/>
      <c r="L154" s="107"/>
      <c r="M154" s="106"/>
      <c r="N154" s="108"/>
      <c r="O154" s="106"/>
      <c r="P154" s="109"/>
      <c r="Q154" s="110"/>
      <c r="R154" s="355"/>
      <c r="S154" s="454"/>
      <c r="T154" s="405" t="str">
        <f>B154</f>
        <v>33.재활사업비</v>
      </c>
      <c r="U154" s="407"/>
      <c r="V154" s="367"/>
      <c r="W154" s="367"/>
      <c r="X154" s="371"/>
      <c r="Y154" s="377">
        <f>SUM(T154:X154)-Q154</f>
        <v>0</v>
      </c>
      <c r="AA154" s="88"/>
      <c r="AB154" s="19"/>
      <c r="AC154" s="19"/>
    </row>
    <row r="155" spans="1:29" ht="18" customHeight="1">
      <c r="A155" s="62"/>
      <c r="B155" s="132"/>
      <c r="C155" s="111" t="s">
        <v>97</v>
      </c>
      <c r="D155" s="65">
        <v>1580</v>
      </c>
      <c r="E155" s="50">
        <f>SUM(T155:X158)*0.001</f>
        <v>1570</v>
      </c>
      <c r="F155" s="66">
        <f>E155-D155</f>
        <v>-10</v>
      </c>
      <c r="G155" s="335" t="s">
        <v>267</v>
      </c>
      <c r="H155" s="306" t="s">
        <v>307</v>
      </c>
      <c r="I155" s="393"/>
      <c r="J155" s="303"/>
      <c r="K155" s="106"/>
      <c r="L155" s="107"/>
      <c r="M155" s="106"/>
      <c r="N155" s="108"/>
      <c r="O155" s="106"/>
      <c r="P155" s="109"/>
      <c r="Q155" s="110"/>
      <c r="R155" s="355"/>
      <c r="S155" s="445">
        <f>SUM(T155:X158)</f>
        <v>1570000</v>
      </c>
      <c r="T155" s="386" t="str">
        <f>H155</f>
        <v>의료재활사업비</v>
      </c>
      <c r="U155" s="387"/>
      <c r="V155" s="388"/>
      <c r="W155" s="388"/>
      <c r="X155" s="389"/>
      <c r="Y155" s="377">
        <f>SUM(T155:X155)-Q155</f>
        <v>0</v>
      </c>
      <c r="AA155" s="88"/>
      <c r="AB155" s="19"/>
      <c r="AC155" s="19"/>
    </row>
    <row r="156" spans="1:29" ht="18" customHeight="1">
      <c r="A156" s="62"/>
      <c r="B156" s="132"/>
      <c r="C156" s="112"/>
      <c r="D156" s="69"/>
      <c r="E156" s="72"/>
      <c r="F156" s="71"/>
      <c r="G156" s="90"/>
      <c r="H156" s="91" t="s">
        <v>246</v>
      </c>
      <c r="I156" s="394" t="s">
        <v>214</v>
      </c>
      <c r="J156" s="75">
        <v>50000</v>
      </c>
      <c r="K156" s="76" t="s">
        <v>160</v>
      </c>
      <c r="L156" s="77">
        <v>12</v>
      </c>
      <c r="M156" s="76" t="s">
        <v>167</v>
      </c>
      <c r="N156" s="78"/>
      <c r="O156" s="76"/>
      <c r="P156" s="78" t="s">
        <v>0</v>
      </c>
      <c r="Q156" s="79">
        <f>ROUNDDOWN(J156*L156,-3)</f>
        <v>600000</v>
      </c>
      <c r="R156" s="356"/>
      <c r="S156" s="455"/>
      <c r="T156" s="383">
        <f>SUMIF($I156,"보",$Q156)</f>
        <v>0</v>
      </c>
      <c r="U156" s="375">
        <f>SUMIF($I156,"수",$Q156)</f>
        <v>0</v>
      </c>
      <c r="V156" s="375">
        <f>SUMIF($I156,"잡",$Q156)</f>
        <v>0</v>
      </c>
      <c r="W156" s="375">
        <f>SUMIF($I156,"후(지)",$Q156)</f>
        <v>0</v>
      </c>
      <c r="X156" s="375">
        <f>SUMIF($I156,"후(비)",$Q156)</f>
        <v>600000</v>
      </c>
      <c r="Y156" s="377">
        <f aca="true" t="shared" si="34" ref="Y156:Y181">SUM(T155:X155)-Q155</f>
        <v>0</v>
      </c>
      <c r="AA156" s="88"/>
      <c r="AB156" s="19"/>
      <c r="AC156" s="19"/>
    </row>
    <row r="157" spans="1:29" ht="18" customHeight="1">
      <c r="A157" s="62"/>
      <c r="B157" s="132"/>
      <c r="C157" s="112"/>
      <c r="D157" s="69"/>
      <c r="E157" s="72"/>
      <c r="F157" s="71"/>
      <c r="G157" s="90"/>
      <c r="H157" s="91" t="s">
        <v>247</v>
      </c>
      <c r="I157" s="394" t="s">
        <v>214</v>
      </c>
      <c r="J157" s="75">
        <v>50000</v>
      </c>
      <c r="K157" s="76" t="s">
        <v>160</v>
      </c>
      <c r="L157" s="77">
        <v>12</v>
      </c>
      <c r="M157" s="76" t="s">
        <v>167</v>
      </c>
      <c r="N157" s="78"/>
      <c r="O157" s="76"/>
      <c r="P157" s="78" t="s">
        <v>0</v>
      </c>
      <c r="Q157" s="79">
        <f>ROUNDDOWN(J157*L157,-3)</f>
        <v>600000</v>
      </c>
      <c r="R157" s="356"/>
      <c r="S157" s="455"/>
      <c r="T157" s="383">
        <f>SUMIF($I157,"보",$Q157)</f>
        <v>0</v>
      </c>
      <c r="U157" s="375">
        <f>SUMIF($I157,"수",$Q157)</f>
        <v>0</v>
      </c>
      <c r="V157" s="375">
        <f>SUMIF($I157,"잡",$Q157)</f>
        <v>0</v>
      </c>
      <c r="W157" s="375">
        <f>SUMIF($I157,"후(지)",$Q157)</f>
        <v>0</v>
      </c>
      <c r="X157" s="375">
        <f>SUMIF($I157,"후(비)",$Q157)</f>
        <v>600000</v>
      </c>
      <c r="Y157" s="377">
        <f t="shared" si="34"/>
        <v>0</v>
      </c>
      <c r="AA157" s="88"/>
      <c r="AB157" s="19"/>
      <c r="AC157" s="19"/>
    </row>
    <row r="158" spans="1:29" ht="18" customHeight="1">
      <c r="A158" s="62"/>
      <c r="B158" s="132"/>
      <c r="C158" s="112"/>
      <c r="D158" s="69"/>
      <c r="E158" s="72"/>
      <c r="F158" s="71"/>
      <c r="G158" s="90"/>
      <c r="H158" s="91" t="s">
        <v>202</v>
      </c>
      <c r="I158" s="394" t="s">
        <v>214</v>
      </c>
      <c r="J158" s="75">
        <v>10000</v>
      </c>
      <c r="K158" s="76" t="s">
        <v>160</v>
      </c>
      <c r="L158" s="77">
        <v>37</v>
      </c>
      <c r="M158" s="76" t="s">
        <v>162</v>
      </c>
      <c r="N158" s="78">
        <v>1</v>
      </c>
      <c r="O158" s="76" t="s">
        <v>169</v>
      </c>
      <c r="P158" s="78" t="s">
        <v>0</v>
      </c>
      <c r="Q158" s="79">
        <f>ROUNDDOWN(J158*L158,-3)</f>
        <v>370000</v>
      </c>
      <c r="R158" s="356"/>
      <c r="S158" s="455"/>
      <c r="T158" s="383">
        <f>SUMIF($I158,"보",$Q158)</f>
        <v>0</v>
      </c>
      <c r="U158" s="375">
        <f>SUMIF($I158,"수",$Q158)</f>
        <v>0</v>
      </c>
      <c r="V158" s="375">
        <f>SUMIF($I158,"잡",$Q158)</f>
        <v>0</v>
      </c>
      <c r="W158" s="375">
        <f>SUMIF($I158,"후(지)",$Q158)</f>
        <v>0</v>
      </c>
      <c r="X158" s="375">
        <f>SUMIF($I158,"후(비)",$Q158)</f>
        <v>370000</v>
      </c>
      <c r="Y158" s="377">
        <f t="shared" si="34"/>
        <v>0</v>
      </c>
      <c r="AA158" s="88"/>
      <c r="AB158" s="19"/>
      <c r="AC158" s="19"/>
    </row>
    <row r="159" spans="1:29" ht="18.75" customHeight="1">
      <c r="A159" s="62"/>
      <c r="B159" s="135"/>
      <c r="C159" s="111" t="s">
        <v>200</v>
      </c>
      <c r="D159" s="65">
        <v>6120</v>
      </c>
      <c r="E159" s="50">
        <f>SUM(T159:X164)*0.001</f>
        <v>4680</v>
      </c>
      <c r="F159" s="66">
        <f>E159-D159</f>
        <v>-1440</v>
      </c>
      <c r="G159" s="335" t="s">
        <v>267</v>
      </c>
      <c r="H159" s="306" t="s">
        <v>294</v>
      </c>
      <c r="I159" s="393"/>
      <c r="J159" s="303"/>
      <c r="K159" s="106"/>
      <c r="L159" s="107"/>
      <c r="M159" s="106"/>
      <c r="N159" s="108"/>
      <c r="O159" s="106"/>
      <c r="P159" s="109"/>
      <c r="Q159" s="110"/>
      <c r="R159" s="355"/>
      <c r="S159" s="445">
        <f>SUM(T159:X164)</f>
        <v>4680000</v>
      </c>
      <c r="T159" s="386" t="str">
        <f>H159</f>
        <v>사회재활사업비</v>
      </c>
      <c r="U159" s="387"/>
      <c r="V159" s="388"/>
      <c r="W159" s="388"/>
      <c r="X159" s="389"/>
      <c r="Y159" s="377">
        <f t="shared" si="34"/>
        <v>0</v>
      </c>
      <c r="AA159" s="88"/>
      <c r="AB159" s="19"/>
      <c r="AC159" s="19"/>
    </row>
    <row r="160" spans="1:29" ht="18.75" customHeight="1">
      <c r="A160" s="62"/>
      <c r="B160" s="132"/>
      <c r="C160" s="112"/>
      <c r="D160" s="69"/>
      <c r="E160" s="70"/>
      <c r="F160" s="71"/>
      <c r="G160" s="90"/>
      <c r="H160" s="114" t="s">
        <v>251</v>
      </c>
      <c r="I160" s="394" t="s">
        <v>214</v>
      </c>
      <c r="J160" s="75">
        <v>10000</v>
      </c>
      <c r="K160" s="76" t="s">
        <v>160</v>
      </c>
      <c r="L160" s="77">
        <v>37</v>
      </c>
      <c r="M160" s="76" t="s">
        <v>162</v>
      </c>
      <c r="N160" s="78">
        <v>4</v>
      </c>
      <c r="O160" s="76" t="s">
        <v>170</v>
      </c>
      <c r="P160" s="78" t="s">
        <v>0</v>
      </c>
      <c r="Q160" s="79">
        <f>ROUNDDOWN(J160*L160*N160,-3)</f>
        <v>1480000</v>
      </c>
      <c r="R160" s="356"/>
      <c r="S160" s="455"/>
      <c r="T160" s="383">
        <f>SUMIF($I160,"보",$Q160)</f>
        <v>0</v>
      </c>
      <c r="U160" s="375">
        <f>SUMIF($I160,"수",$Q160)</f>
        <v>0</v>
      </c>
      <c r="V160" s="375">
        <f>SUMIF($I160,"잡",$Q160)</f>
        <v>0</v>
      </c>
      <c r="W160" s="375">
        <f>SUMIF($I160,"후(지)",$Q160)</f>
        <v>0</v>
      </c>
      <c r="X160" s="375">
        <f>SUMIF($I160,"후(비)",$Q160)</f>
        <v>1480000</v>
      </c>
      <c r="Y160" s="377">
        <f t="shared" si="34"/>
        <v>0</v>
      </c>
      <c r="AA160" s="88"/>
      <c r="AB160" s="19"/>
      <c r="AC160" s="19"/>
    </row>
    <row r="161" spans="1:29" ht="18.75" customHeight="1">
      <c r="A161" s="62"/>
      <c r="B161" s="132"/>
      <c r="C161" s="68"/>
      <c r="D161" s="69"/>
      <c r="E161" s="69"/>
      <c r="F161" s="71"/>
      <c r="G161" s="90"/>
      <c r="H161" s="114" t="s">
        <v>255</v>
      </c>
      <c r="I161" s="394" t="s">
        <v>214</v>
      </c>
      <c r="J161" s="75">
        <v>50000</v>
      </c>
      <c r="K161" s="76" t="s">
        <v>160</v>
      </c>
      <c r="L161" s="77">
        <v>6</v>
      </c>
      <c r="M161" s="76" t="s">
        <v>168</v>
      </c>
      <c r="N161" s="78"/>
      <c r="O161" s="76"/>
      <c r="P161" s="78" t="s">
        <v>0</v>
      </c>
      <c r="Q161" s="79">
        <f>ROUNDDOWN(J161*L161,-3)</f>
        <v>300000</v>
      </c>
      <c r="R161" s="356"/>
      <c r="S161" s="455"/>
      <c r="T161" s="383">
        <f>SUMIF($I161,"보",$Q161)</f>
        <v>0</v>
      </c>
      <c r="U161" s="375">
        <f>SUMIF($I161,"수",$Q161)</f>
        <v>0</v>
      </c>
      <c r="V161" s="375">
        <f>SUMIF($I161,"잡",$Q161)</f>
        <v>0</v>
      </c>
      <c r="W161" s="375">
        <f>SUMIF($I161,"후(지)",$Q161)</f>
        <v>0</v>
      </c>
      <c r="X161" s="375">
        <f>SUMIF($I161,"후(비)",$Q161)</f>
        <v>300000</v>
      </c>
      <c r="Y161" s="377" t="e">
        <f>SUM(#REF!)-#REF!</f>
        <v>#REF!</v>
      </c>
      <c r="AA161" s="88"/>
      <c r="AB161" s="19"/>
      <c r="AC161" s="19"/>
    </row>
    <row r="162" spans="1:29" ht="18.75" customHeight="1">
      <c r="A162" s="62"/>
      <c r="B162" s="132"/>
      <c r="C162" s="68"/>
      <c r="D162" s="69"/>
      <c r="E162" s="69"/>
      <c r="F162" s="71"/>
      <c r="G162" s="90"/>
      <c r="H162" s="114" t="s">
        <v>256</v>
      </c>
      <c r="I162" s="394" t="s">
        <v>214</v>
      </c>
      <c r="J162" s="75">
        <v>50000</v>
      </c>
      <c r="K162" s="76" t="s">
        <v>160</v>
      </c>
      <c r="L162" s="77">
        <v>12</v>
      </c>
      <c r="M162" s="76" t="s">
        <v>168</v>
      </c>
      <c r="N162" s="78"/>
      <c r="O162" s="76"/>
      <c r="P162" s="78" t="s">
        <v>0</v>
      </c>
      <c r="Q162" s="79">
        <f>ROUNDDOWN(J162*L162,-3)</f>
        <v>600000</v>
      </c>
      <c r="R162" s="356"/>
      <c r="S162" s="455"/>
      <c r="T162" s="383">
        <f>SUMIF($I162,"보",$Q162)</f>
        <v>0</v>
      </c>
      <c r="U162" s="375">
        <f>SUMIF($I162,"수",$Q162)</f>
        <v>0</v>
      </c>
      <c r="V162" s="375">
        <f>SUMIF($I162,"잡",$Q162)</f>
        <v>0</v>
      </c>
      <c r="W162" s="375">
        <f>SUMIF($I162,"후(지)",$Q162)</f>
        <v>0</v>
      </c>
      <c r="X162" s="375">
        <f>SUMIF($I162,"후(비)",$Q162)</f>
        <v>600000</v>
      </c>
      <c r="Y162" s="377" t="e">
        <f>SUM(#REF!)-#REF!</f>
        <v>#REF!</v>
      </c>
      <c r="AA162" s="88"/>
      <c r="AB162" s="19"/>
      <c r="AC162" s="19"/>
    </row>
    <row r="163" spans="1:29" ht="18" customHeight="1">
      <c r="A163" s="62"/>
      <c r="B163" s="132"/>
      <c r="C163" s="68"/>
      <c r="D163" s="69"/>
      <c r="E163" s="69"/>
      <c r="F163" s="71"/>
      <c r="G163" s="90"/>
      <c r="H163" s="114" t="s">
        <v>331</v>
      </c>
      <c r="I163" s="394" t="s">
        <v>214</v>
      </c>
      <c r="J163" s="75">
        <v>100000</v>
      </c>
      <c r="K163" s="76" t="s">
        <v>160</v>
      </c>
      <c r="L163" s="77">
        <v>5</v>
      </c>
      <c r="M163" s="76" t="s">
        <v>170</v>
      </c>
      <c r="N163" s="78"/>
      <c r="O163" s="76"/>
      <c r="P163" s="78" t="s">
        <v>0</v>
      </c>
      <c r="Q163" s="79">
        <f>ROUNDDOWN(J163*L163,-3)</f>
        <v>500000</v>
      </c>
      <c r="R163" s="356"/>
      <c r="S163" s="455"/>
      <c r="T163" s="383">
        <f>SUMIF($I163,"보",$Q163)</f>
        <v>0</v>
      </c>
      <c r="U163" s="375">
        <f>SUMIF($I163,"수",$Q163)</f>
        <v>0</v>
      </c>
      <c r="V163" s="375">
        <f>SUMIF($I163,"잡",$Q163)</f>
        <v>0</v>
      </c>
      <c r="W163" s="375">
        <f>SUMIF($I163,"후(지)",$Q163)</f>
        <v>0</v>
      </c>
      <c r="X163" s="375">
        <f>SUMIF($I163,"후(비)",$Q163)</f>
        <v>500000</v>
      </c>
      <c r="Y163" s="377">
        <f t="shared" si="34"/>
        <v>0</v>
      </c>
      <c r="AA163" s="88"/>
      <c r="AB163" s="19"/>
      <c r="AC163" s="19"/>
    </row>
    <row r="164" spans="1:29" ht="18" customHeight="1">
      <c r="A164" s="62"/>
      <c r="B164" s="132"/>
      <c r="C164" s="68"/>
      <c r="D164" s="69"/>
      <c r="E164" s="69"/>
      <c r="F164" s="71"/>
      <c r="G164" s="90"/>
      <c r="H164" s="91" t="s">
        <v>258</v>
      </c>
      <c r="I164" s="394" t="s">
        <v>214</v>
      </c>
      <c r="J164" s="75">
        <v>300000</v>
      </c>
      <c r="K164" s="76" t="s">
        <v>160</v>
      </c>
      <c r="L164" s="77">
        <v>6</v>
      </c>
      <c r="M164" s="76" t="s">
        <v>169</v>
      </c>
      <c r="N164" s="78"/>
      <c r="O164" s="76"/>
      <c r="P164" s="78" t="s">
        <v>0</v>
      </c>
      <c r="Q164" s="79">
        <f>ROUNDDOWN(J164*L164,-3)</f>
        <v>1800000</v>
      </c>
      <c r="R164" s="356"/>
      <c r="S164" s="455"/>
      <c r="T164" s="383">
        <f>SUMIF($I164,"보",$Q164)</f>
        <v>0</v>
      </c>
      <c r="U164" s="375">
        <f>SUMIF($I164,"수",$Q164)</f>
        <v>0</v>
      </c>
      <c r="V164" s="375">
        <f>SUMIF($I164,"잡",$Q164)</f>
        <v>0</v>
      </c>
      <c r="W164" s="375">
        <f>SUMIF($I164,"후(지)",$Q164)</f>
        <v>0</v>
      </c>
      <c r="X164" s="375">
        <f>SUMIF($I164,"후(비)",$Q164)</f>
        <v>1800000</v>
      </c>
      <c r="Y164" s="377" t="e">
        <f>SUM(#REF!)-#REF!</f>
        <v>#REF!</v>
      </c>
      <c r="AA164" s="88"/>
      <c r="AB164" s="19"/>
      <c r="AC164" s="19"/>
    </row>
    <row r="165" spans="1:29" ht="18" customHeight="1">
      <c r="A165" s="62"/>
      <c r="B165" s="132"/>
      <c r="C165" s="111" t="s">
        <v>96</v>
      </c>
      <c r="D165" s="65">
        <v>3060</v>
      </c>
      <c r="E165" s="50">
        <f>SUM(T165:X174)*0.001</f>
        <v>4780</v>
      </c>
      <c r="F165" s="66">
        <f>E165-D165</f>
        <v>1720</v>
      </c>
      <c r="G165" s="335" t="s">
        <v>267</v>
      </c>
      <c r="H165" s="306" t="s">
        <v>295</v>
      </c>
      <c r="I165" s="393"/>
      <c r="J165" s="303"/>
      <c r="K165" s="106"/>
      <c r="L165" s="107"/>
      <c r="M165" s="106"/>
      <c r="N165" s="108"/>
      <c r="O165" s="106"/>
      <c r="P165" s="109"/>
      <c r="Q165" s="110"/>
      <c r="R165" s="355"/>
      <c r="S165" s="445">
        <f>SUM(T165:X174)</f>
        <v>4780000</v>
      </c>
      <c r="T165" s="386" t="str">
        <f>H165</f>
        <v>교육재활사업비</v>
      </c>
      <c r="U165" s="387"/>
      <c r="V165" s="388"/>
      <c r="W165" s="388"/>
      <c r="X165" s="389"/>
      <c r="Y165" s="377">
        <f t="shared" si="34"/>
        <v>0</v>
      </c>
      <c r="AA165" s="88"/>
      <c r="AB165" s="19"/>
      <c r="AC165" s="19"/>
    </row>
    <row r="166" spans="1:29" ht="18" customHeight="1">
      <c r="A166" s="62"/>
      <c r="B166" s="132"/>
      <c r="C166" s="112"/>
      <c r="D166" s="69"/>
      <c r="E166" s="70"/>
      <c r="F166" s="71"/>
      <c r="G166" s="90"/>
      <c r="H166" s="91" t="s">
        <v>305</v>
      </c>
      <c r="I166" s="394" t="s">
        <v>117</v>
      </c>
      <c r="J166" s="75">
        <v>250000</v>
      </c>
      <c r="K166" s="76" t="s">
        <v>160</v>
      </c>
      <c r="L166" s="77">
        <v>2</v>
      </c>
      <c r="M166" s="76" t="s">
        <v>170</v>
      </c>
      <c r="N166" s="78"/>
      <c r="O166" s="76"/>
      <c r="P166" s="78" t="s">
        <v>0</v>
      </c>
      <c r="Q166" s="79">
        <f aca="true" t="shared" si="35" ref="Q166:Q176">ROUNDDOWN(J166*L166,-3)</f>
        <v>500000</v>
      </c>
      <c r="R166" s="356"/>
      <c r="S166" s="455"/>
      <c r="T166" s="383">
        <f aca="true" t="shared" si="36" ref="T166:T176">SUMIF($I166,"보",$Q166)</f>
        <v>500000</v>
      </c>
      <c r="U166" s="375">
        <f aca="true" t="shared" si="37" ref="U166:U176">SUMIF($I166,"수",$Q166)</f>
        <v>0</v>
      </c>
      <c r="V166" s="375">
        <f aca="true" t="shared" si="38" ref="V166:V176">SUMIF($I166,"잡",$Q166)</f>
        <v>0</v>
      </c>
      <c r="W166" s="375">
        <f aca="true" t="shared" si="39" ref="W166:W176">SUMIF($I166,"후(지)",$Q166)</f>
        <v>0</v>
      </c>
      <c r="X166" s="375">
        <f aca="true" t="shared" si="40" ref="X166:X176">SUMIF($I166,"후(비)",$Q166)</f>
        <v>0</v>
      </c>
      <c r="Y166" s="377">
        <f t="shared" si="34"/>
        <v>0</v>
      </c>
      <c r="AA166" s="88"/>
      <c r="AB166" s="19"/>
      <c r="AC166" s="19"/>
    </row>
    <row r="167" spans="1:29" ht="18" customHeight="1">
      <c r="A167" s="62"/>
      <c r="B167" s="132"/>
      <c r="C167" s="112"/>
      <c r="D167" s="69"/>
      <c r="E167" s="70"/>
      <c r="F167" s="71"/>
      <c r="G167" s="90"/>
      <c r="H167" s="91" t="s">
        <v>312</v>
      </c>
      <c r="I167" s="394" t="s">
        <v>117</v>
      </c>
      <c r="J167" s="75">
        <v>150000</v>
      </c>
      <c r="K167" s="76" t="s">
        <v>160</v>
      </c>
      <c r="L167" s="77">
        <v>12</v>
      </c>
      <c r="M167" s="76" t="s">
        <v>167</v>
      </c>
      <c r="N167" s="78"/>
      <c r="O167" s="76"/>
      <c r="P167" s="78" t="s">
        <v>0</v>
      </c>
      <c r="Q167" s="79">
        <f>ROUNDDOWN(J167*L167,-3)</f>
        <v>1800000</v>
      </c>
      <c r="R167" s="356"/>
      <c r="S167" s="455"/>
      <c r="T167" s="383">
        <f t="shared" si="36"/>
        <v>1800000</v>
      </c>
      <c r="U167" s="375">
        <f t="shared" si="37"/>
        <v>0</v>
      </c>
      <c r="V167" s="375">
        <f t="shared" si="38"/>
        <v>0</v>
      </c>
      <c r="W167" s="375">
        <f t="shared" si="39"/>
        <v>0</v>
      </c>
      <c r="X167" s="375">
        <f t="shared" si="40"/>
        <v>0</v>
      </c>
      <c r="Y167" s="377"/>
      <c r="AA167" s="88"/>
      <c r="AB167" s="19"/>
      <c r="AC167" s="19"/>
    </row>
    <row r="168" spans="1:29" ht="18" customHeight="1">
      <c r="A168" s="62"/>
      <c r="B168" s="132"/>
      <c r="C168" s="112"/>
      <c r="D168" s="69"/>
      <c r="E168" s="70"/>
      <c r="F168" s="71"/>
      <c r="G168" s="90"/>
      <c r="H168" s="91" t="s">
        <v>306</v>
      </c>
      <c r="I168" s="394" t="s">
        <v>214</v>
      </c>
      <c r="J168" s="75">
        <v>50000</v>
      </c>
      <c r="K168" s="76" t="s">
        <v>160</v>
      </c>
      <c r="L168" s="77">
        <v>16</v>
      </c>
      <c r="M168" s="76" t="s">
        <v>169</v>
      </c>
      <c r="N168" s="78"/>
      <c r="O168" s="76"/>
      <c r="P168" s="78" t="s">
        <v>0</v>
      </c>
      <c r="Q168" s="79">
        <f>ROUNDDOWN(J168*L168,-3)</f>
        <v>800000</v>
      </c>
      <c r="R168" s="356"/>
      <c r="S168" s="455"/>
      <c r="T168" s="383">
        <f t="shared" si="36"/>
        <v>0</v>
      </c>
      <c r="U168" s="375">
        <f t="shared" si="37"/>
        <v>0</v>
      </c>
      <c r="V168" s="375">
        <f t="shared" si="38"/>
        <v>0</v>
      </c>
      <c r="W168" s="375">
        <f t="shared" si="39"/>
        <v>0</v>
      </c>
      <c r="X168" s="375">
        <f t="shared" si="40"/>
        <v>800000</v>
      </c>
      <c r="Y168" s="377">
        <f>SUM(T166:X166)-Q166</f>
        <v>0</v>
      </c>
      <c r="AA168" s="88"/>
      <c r="AB168" s="19"/>
      <c r="AC168" s="19"/>
    </row>
    <row r="169" spans="1:29" ht="18" customHeight="1">
      <c r="A169" s="62"/>
      <c r="B169" s="132"/>
      <c r="C169" s="112"/>
      <c r="D169" s="69"/>
      <c r="E169" s="69"/>
      <c r="F169" s="71"/>
      <c r="G169" s="90"/>
      <c r="H169" s="91" t="s">
        <v>252</v>
      </c>
      <c r="I169" s="394" t="s">
        <v>214</v>
      </c>
      <c r="J169" s="75">
        <v>100000</v>
      </c>
      <c r="K169" s="76" t="s">
        <v>160</v>
      </c>
      <c r="L169" s="77">
        <v>2</v>
      </c>
      <c r="M169" s="76" t="s">
        <v>169</v>
      </c>
      <c r="N169" s="78"/>
      <c r="O169" s="76"/>
      <c r="P169" s="78" t="s">
        <v>0</v>
      </c>
      <c r="Q169" s="79">
        <f t="shared" si="35"/>
        <v>200000</v>
      </c>
      <c r="R169" s="356"/>
      <c r="S169" s="455"/>
      <c r="T169" s="383">
        <f t="shared" si="36"/>
        <v>0</v>
      </c>
      <c r="U169" s="375">
        <f t="shared" si="37"/>
        <v>0</v>
      </c>
      <c r="V169" s="375">
        <f t="shared" si="38"/>
        <v>0</v>
      </c>
      <c r="W169" s="375">
        <f t="shared" si="39"/>
        <v>0</v>
      </c>
      <c r="X169" s="375">
        <f t="shared" si="40"/>
        <v>200000</v>
      </c>
      <c r="Y169" s="377">
        <f>SUM(T166:X166)-Q166</f>
        <v>0</v>
      </c>
      <c r="AA169" s="88"/>
      <c r="AB169" s="19"/>
      <c r="AC169" s="19"/>
    </row>
    <row r="170" spans="1:29" ht="19.5" customHeight="1">
      <c r="A170" s="62"/>
      <c r="B170" s="132"/>
      <c r="C170" s="112"/>
      <c r="D170" s="69"/>
      <c r="E170" s="69"/>
      <c r="F170" s="71"/>
      <c r="G170" s="90"/>
      <c r="H170" s="91" t="s">
        <v>248</v>
      </c>
      <c r="I170" s="394" t="s">
        <v>214</v>
      </c>
      <c r="J170" s="75">
        <v>100000</v>
      </c>
      <c r="K170" s="76" t="s">
        <v>160</v>
      </c>
      <c r="L170" s="77">
        <v>2</v>
      </c>
      <c r="M170" s="76" t="s">
        <v>169</v>
      </c>
      <c r="N170" s="78"/>
      <c r="O170" s="76"/>
      <c r="P170" s="78" t="s">
        <v>0</v>
      </c>
      <c r="Q170" s="79">
        <f t="shared" si="35"/>
        <v>200000</v>
      </c>
      <c r="R170" s="356"/>
      <c r="S170" s="455"/>
      <c r="T170" s="383">
        <f t="shared" si="36"/>
        <v>0</v>
      </c>
      <c r="U170" s="375">
        <f t="shared" si="37"/>
        <v>0</v>
      </c>
      <c r="V170" s="375">
        <f t="shared" si="38"/>
        <v>0</v>
      </c>
      <c r="W170" s="375">
        <f t="shared" si="39"/>
        <v>0</v>
      </c>
      <c r="X170" s="375">
        <f t="shared" si="40"/>
        <v>200000</v>
      </c>
      <c r="Y170" s="377">
        <f t="shared" si="34"/>
        <v>0</v>
      </c>
      <c r="AA170" s="88"/>
      <c r="AB170" s="19"/>
      <c r="AC170" s="19"/>
    </row>
    <row r="171" spans="1:29" ht="19.5" customHeight="1">
      <c r="A171" s="62"/>
      <c r="B171" s="132"/>
      <c r="C171" s="112"/>
      <c r="D171" s="69"/>
      <c r="E171" s="69"/>
      <c r="F171" s="71"/>
      <c r="G171" s="90"/>
      <c r="H171" s="91" t="s">
        <v>253</v>
      </c>
      <c r="I171" s="394" t="s">
        <v>214</v>
      </c>
      <c r="J171" s="75">
        <v>50000</v>
      </c>
      <c r="K171" s="76" t="s">
        <v>160</v>
      </c>
      <c r="L171" s="77">
        <v>4</v>
      </c>
      <c r="M171" s="76" t="s">
        <v>169</v>
      </c>
      <c r="N171" s="78"/>
      <c r="O171" s="76"/>
      <c r="P171" s="78" t="s">
        <v>0</v>
      </c>
      <c r="Q171" s="79">
        <f t="shared" si="35"/>
        <v>200000</v>
      </c>
      <c r="R171" s="356"/>
      <c r="S171" s="455"/>
      <c r="T171" s="383">
        <f t="shared" si="36"/>
        <v>0</v>
      </c>
      <c r="U171" s="375">
        <f t="shared" si="37"/>
        <v>0</v>
      </c>
      <c r="V171" s="375">
        <f t="shared" si="38"/>
        <v>0</v>
      </c>
      <c r="W171" s="375">
        <f t="shared" si="39"/>
        <v>0</v>
      </c>
      <c r="X171" s="375">
        <f t="shared" si="40"/>
        <v>200000</v>
      </c>
      <c r="Y171" s="377">
        <f t="shared" si="34"/>
        <v>0</v>
      </c>
      <c r="AA171" s="88"/>
      <c r="AB171" s="19"/>
      <c r="AC171" s="19"/>
    </row>
    <row r="172" spans="1:29" ht="19.5" customHeight="1">
      <c r="A172" s="62"/>
      <c r="B172" s="132"/>
      <c r="C172" s="112"/>
      <c r="D172" s="69"/>
      <c r="E172" s="69"/>
      <c r="F172" s="71"/>
      <c r="G172" s="90"/>
      <c r="H172" s="114" t="s">
        <v>254</v>
      </c>
      <c r="I172" s="394" t="s">
        <v>214</v>
      </c>
      <c r="J172" s="75">
        <v>20000</v>
      </c>
      <c r="K172" s="76" t="s">
        <v>160</v>
      </c>
      <c r="L172" s="77">
        <v>12</v>
      </c>
      <c r="M172" s="76" t="s">
        <v>168</v>
      </c>
      <c r="N172" s="78"/>
      <c r="O172" s="76"/>
      <c r="P172" s="78" t="s">
        <v>0</v>
      </c>
      <c r="Q172" s="79">
        <f t="shared" si="35"/>
        <v>240000</v>
      </c>
      <c r="R172" s="356"/>
      <c r="S172" s="455"/>
      <c r="T172" s="383">
        <f t="shared" si="36"/>
        <v>0</v>
      </c>
      <c r="U172" s="375">
        <f t="shared" si="37"/>
        <v>0</v>
      </c>
      <c r="V172" s="375">
        <f t="shared" si="38"/>
        <v>0</v>
      </c>
      <c r="W172" s="375">
        <f t="shared" si="39"/>
        <v>0</v>
      </c>
      <c r="X172" s="375">
        <f t="shared" si="40"/>
        <v>240000</v>
      </c>
      <c r="Y172" s="377">
        <f t="shared" si="34"/>
        <v>0</v>
      </c>
      <c r="AA172" s="88"/>
      <c r="AB172" s="19"/>
      <c r="AC172" s="19"/>
    </row>
    <row r="173" spans="1:29" ht="19.5" customHeight="1">
      <c r="A173" s="62"/>
      <c r="B173" s="132"/>
      <c r="C173" s="68"/>
      <c r="D173" s="69"/>
      <c r="E173" s="69"/>
      <c r="F173" s="71"/>
      <c r="G173" s="90"/>
      <c r="H173" s="114" t="s">
        <v>328</v>
      </c>
      <c r="I173" s="394" t="s">
        <v>214</v>
      </c>
      <c r="J173" s="75">
        <v>20000</v>
      </c>
      <c r="K173" s="76" t="s">
        <v>160</v>
      </c>
      <c r="L173" s="77">
        <v>12</v>
      </c>
      <c r="M173" s="76" t="s">
        <v>168</v>
      </c>
      <c r="N173" s="78"/>
      <c r="O173" s="76"/>
      <c r="P173" s="78" t="s">
        <v>0</v>
      </c>
      <c r="Q173" s="79">
        <f t="shared" si="35"/>
        <v>240000</v>
      </c>
      <c r="R173" s="356"/>
      <c r="S173" s="455"/>
      <c r="T173" s="383">
        <f t="shared" si="36"/>
        <v>0</v>
      </c>
      <c r="U173" s="375">
        <f t="shared" si="37"/>
        <v>0</v>
      </c>
      <c r="V173" s="375">
        <f t="shared" si="38"/>
        <v>0</v>
      </c>
      <c r="W173" s="375">
        <f t="shared" si="39"/>
        <v>0</v>
      </c>
      <c r="X173" s="375">
        <f t="shared" si="40"/>
        <v>240000</v>
      </c>
      <c r="Y173" s="377" t="e">
        <f>SUM(#REF!)-#REF!</f>
        <v>#REF!</v>
      </c>
      <c r="AA173" s="88"/>
      <c r="AB173" s="19"/>
      <c r="AC173" s="19"/>
    </row>
    <row r="174" spans="1:29" ht="19.5" customHeight="1">
      <c r="A174" s="62"/>
      <c r="B174" s="132"/>
      <c r="C174" s="68"/>
      <c r="D174" s="69"/>
      <c r="E174" s="69"/>
      <c r="F174" s="71"/>
      <c r="G174" s="90"/>
      <c r="H174" s="114" t="s">
        <v>257</v>
      </c>
      <c r="I174" s="394" t="s">
        <v>214</v>
      </c>
      <c r="J174" s="75">
        <v>300000</v>
      </c>
      <c r="K174" s="76" t="s">
        <v>160</v>
      </c>
      <c r="L174" s="77">
        <v>2</v>
      </c>
      <c r="M174" s="76" t="s">
        <v>170</v>
      </c>
      <c r="N174" s="78"/>
      <c r="O174" s="76"/>
      <c r="P174" s="78" t="s">
        <v>0</v>
      </c>
      <c r="Q174" s="79">
        <f t="shared" si="35"/>
        <v>600000</v>
      </c>
      <c r="R174" s="356"/>
      <c r="S174" s="455"/>
      <c r="T174" s="383">
        <f t="shared" si="36"/>
        <v>0</v>
      </c>
      <c r="U174" s="375">
        <f t="shared" si="37"/>
        <v>0</v>
      </c>
      <c r="V174" s="375">
        <f t="shared" si="38"/>
        <v>0</v>
      </c>
      <c r="W174" s="375">
        <f t="shared" si="39"/>
        <v>0</v>
      </c>
      <c r="X174" s="375">
        <f t="shared" si="40"/>
        <v>600000</v>
      </c>
      <c r="Y174" s="377">
        <f t="shared" si="34"/>
        <v>0</v>
      </c>
      <c r="AA174" s="88"/>
      <c r="AB174" s="19"/>
      <c r="AC174" s="19"/>
    </row>
    <row r="175" spans="1:29" ht="19.5" customHeight="1">
      <c r="A175" s="101"/>
      <c r="B175" s="132"/>
      <c r="C175" s="64" t="s">
        <v>337</v>
      </c>
      <c r="D175" s="65">
        <v>1000</v>
      </c>
      <c r="E175" s="50">
        <f>SUM(T175:X176)*0.001</f>
        <v>0</v>
      </c>
      <c r="F175" s="66">
        <v>200</v>
      </c>
      <c r="G175" s="485" t="s">
        <v>333</v>
      </c>
      <c r="H175" s="488" t="s">
        <v>338</v>
      </c>
      <c r="I175" s="396"/>
      <c r="J175" s="316"/>
      <c r="K175" s="106"/>
      <c r="L175" s="107"/>
      <c r="M175" s="106"/>
      <c r="N175" s="108"/>
      <c r="O175" s="106"/>
      <c r="P175" s="108"/>
      <c r="Q175" s="110"/>
      <c r="R175" s="356"/>
      <c r="S175" s="487"/>
      <c r="T175" s="383" t="s">
        <v>338</v>
      </c>
      <c r="U175" s="375"/>
      <c r="V175" s="376"/>
      <c r="W175" s="376"/>
      <c r="X175" s="376"/>
      <c r="Y175" s="377"/>
      <c r="AA175" s="88"/>
      <c r="AB175" s="19"/>
      <c r="AC175" s="19"/>
    </row>
    <row r="176" spans="1:29" ht="19.5" customHeight="1">
      <c r="A176" s="101"/>
      <c r="B176" s="132"/>
      <c r="C176" s="68"/>
      <c r="D176" s="69"/>
      <c r="E176" s="69"/>
      <c r="F176" s="71"/>
      <c r="G176" s="90"/>
      <c r="H176" s="114"/>
      <c r="I176" s="394"/>
      <c r="J176" s="75">
        <v>0</v>
      </c>
      <c r="K176" s="76" t="s">
        <v>160</v>
      </c>
      <c r="L176" s="77"/>
      <c r="M176" s="76"/>
      <c r="N176" s="78"/>
      <c r="O176" s="76"/>
      <c r="P176" s="78" t="s">
        <v>336</v>
      </c>
      <c r="Q176" s="79">
        <f t="shared" si="35"/>
        <v>0</v>
      </c>
      <c r="R176" s="356"/>
      <c r="S176" s="486"/>
      <c r="T176" s="383">
        <f t="shared" si="36"/>
        <v>0</v>
      </c>
      <c r="U176" s="375">
        <f t="shared" si="37"/>
        <v>0</v>
      </c>
      <c r="V176" s="375">
        <f t="shared" si="38"/>
        <v>0</v>
      </c>
      <c r="W176" s="375">
        <f t="shared" si="39"/>
        <v>0</v>
      </c>
      <c r="X176" s="375">
        <f t="shared" si="40"/>
        <v>0</v>
      </c>
      <c r="Y176" s="377"/>
      <c r="AA176" s="88"/>
      <c r="AB176" s="19"/>
      <c r="AC176" s="19"/>
    </row>
    <row r="177" spans="1:29" ht="18.75" customHeight="1">
      <c r="A177" s="137"/>
      <c r="B177" s="138"/>
      <c r="C177" s="142" t="s">
        <v>150</v>
      </c>
      <c r="D177" s="143">
        <v>4940</v>
      </c>
      <c r="E177" s="50">
        <f>SUM(T177:X181)*0.001</f>
        <v>4810</v>
      </c>
      <c r="F177" s="66">
        <f>E177-D177</f>
        <v>-130</v>
      </c>
      <c r="G177" s="335" t="s">
        <v>267</v>
      </c>
      <c r="H177" s="306" t="s">
        <v>296</v>
      </c>
      <c r="I177" s="393"/>
      <c r="J177" s="303"/>
      <c r="K177" s="106"/>
      <c r="L177" s="107"/>
      <c r="M177" s="106"/>
      <c r="N177" s="108"/>
      <c r="O177" s="106"/>
      <c r="P177" s="109"/>
      <c r="Q177" s="110"/>
      <c r="R177" s="355"/>
      <c r="S177" s="445">
        <f>SUM(T177:X181)</f>
        <v>4810000</v>
      </c>
      <c r="T177" s="405" t="str">
        <f>H177</f>
        <v>지원재활사업비</v>
      </c>
      <c r="U177" s="387"/>
      <c r="V177" s="388"/>
      <c r="W177" s="388"/>
      <c r="X177" s="389"/>
      <c r="Y177" s="377" t="e">
        <f>SUM(#REF!)-#REF!</f>
        <v>#REF!</v>
      </c>
      <c r="AA177" s="88"/>
      <c r="AB177" s="19"/>
      <c r="AC177" s="19"/>
    </row>
    <row r="178" spans="1:29" ht="18" customHeight="1">
      <c r="A178" s="137"/>
      <c r="B178" s="141"/>
      <c r="C178" s="139"/>
      <c r="D178" s="72"/>
      <c r="E178" s="70"/>
      <c r="F178" s="71"/>
      <c r="G178" s="90"/>
      <c r="H178" s="91" t="s">
        <v>33</v>
      </c>
      <c r="I178" s="394" t="s">
        <v>174</v>
      </c>
      <c r="J178" s="75">
        <v>15000</v>
      </c>
      <c r="K178" s="76" t="s">
        <v>160</v>
      </c>
      <c r="L178" s="77">
        <f>세입!L19</f>
        <v>37</v>
      </c>
      <c r="M178" s="76" t="s">
        <v>162</v>
      </c>
      <c r="N178" s="78">
        <f>세입!N19</f>
        <v>1</v>
      </c>
      <c r="O178" s="76" t="s">
        <v>169</v>
      </c>
      <c r="P178" s="78" t="s">
        <v>0</v>
      </c>
      <c r="Q178" s="79">
        <f>ROUNDDOWN(J178*L178*N178,-3)</f>
        <v>555000</v>
      </c>
      <c r="R178" s="356"/>
      <c r="S178" s="455"/>
      <c r="T178" s="383">
        <f>SUMIF($I178,"보",$Q178)</f>
        <v>555000</v>
      </c>
      <c r="U178" s="375">
        <f>SUMIF($I178,"수",$Q178)</f>
        <v>0</v>
      </c>
      <c r="V178" s="375">
        <f>SUMIF($I178,"잡",$Q178)</f>
        <v>0</v>
      </c>
      <c r="W178" s="375">
        <f>SUMIF($I178,"후(지)",$Q178)</f>
        <v>0</v>
      </c>
      <c r="X178" s="375">
        <f>SUMIF($I178,"후(비)",$Q178)</f>
        <v>0</v>
      </c>
      <c r="Y178" s="377">
        <f t="shared" si="34"/>
        <v>0</v>
      </c>
      <c r="AA178" s="88"/>
      <c r="AB178" s="19"/>
      <c r="AC178" s="19"/>
    </row>
    <row r="179" spans="1:29" ht="18.75" customHeight="1">
      <c r="A179" s="62"/>
      <c r="B179" s="132"/>
      <c r="C179" s="68"/>
      <c r="D179" s="69"/>
      <c r="E179" s="69"/>
      <c r="F179" s="71"/>
      <c r="G179" s="90"/>
      <c r="H179" s="114" t="s">
        <v>36</v>
      </c>
      <c r="I179" s="394" t="s">
        <v>174</v>
      </c>
      <c r="J179" s="75">
        <v>50000</v>
      </c>
      <c r="K179" s="76" t="s">
        <v>160</v>
      </c>
      <c r="L179" s="77">
        <f>세입!L20</f>
        <v>37</v>
      </c>
      <c r="M179" s="76" t="s">
        <v>162</v>
      </c>
      <c r="N179" s="78">
        <f>세입!N20</f>
        <v>1</v>
      </c>
      <c r="O179" s="76" t="s">
        <v>169</v>
      </c>
      <c r="P179" s="78" t="s">
        <v>0</v>
      </c>
      <c r="Q179" s="79">
        <f>ROUNDDOWN(J179*L179*N179,-3)</f>
        <v>1850000</v>
      </c>
      <c r="R179" s="356"/>
      <c r="S179" s="455"/>
      <c r="T179" s="383">
        <f>SUMIF($I179,"보",$Q179)</f>
        <v>1850000</v>
      </c>
      <c r="U179" s="375">
        <f>SUMIF($I179,"수",$Q179)</f>
        <v>0</v>
      </c>
      <c r="V179" s="375">
        <f>SUMIF($I179,"잡",$Q179)</f>
        <v>0</v>
      </c>
      <c r="W179" s="375">
        <f>SUMIF($I179,"후(지)",$Q179)</f>
        <v>0</v>
      </c>
      <c r="X179" s="375">
        <f>SUMIF($I179,"후(비)",$Q179)</f>
        <v>0</v>
      </c>
      <c r="Y179" s="377">
        <f t="shared" si="34"/>
        <v>0</v>
      </c>
      <c r="AA179" s="88"/>
      <c r="AB179" s="19"/>
      <c r="AC179" s="19"/>
    </row>
    <row r="180" spans="1:29" ht="18.75" customHeight="1">
      <c r="A180" s="101"/>
      <c r="B180" s="135"/>
      <c r="C180" s="136"/>
      <c r="D180" s="69"/>
      <c r="E180" s="69"/>
      <c r="F180" s="71"/>
      <c r="G180" s="90"/>
      <c r="H180" s="91" t="s">
        <v>35</v>
      </c>
      <c r="I180" s="394" t="s">
        <v>174</v>
      </c>
      <c r="J180" s="75">
        <v>15000</v>
      </c>
      <c r="K180" s="76" t="s">
        <v>160</v>
      </c>
      <c r="L180" s="77">
        <f>세입!L21</f>
        <v>37</v>
      </c>
      <c r="M180" s="76" t="s">
        <v>162</v>
      </c>
      <c r="N180" s="78">
        <f>세입!N21</f>
        <v>1</v>
      </c>
      <c r="O180" s="76" t="s">
        <v>169</v>
      </c>
      <c r="P180" s="78" t="s">
        <v>0</v>
      </c>
      <c r="Q180" s="79">
        <f>ROUNDDOWN(J180*L180*N180,-3)</f>
        <v>555000</v>
      </c>
      <c r="R180" s="356"/>
      <c r="S180" s="455"/>
      <c r="T180" s="383">
        <f>SUMIF($I180,"보",$Q180)</f>
        <v>555000</v>
      </c>
      <c r="U180" s="375">
        <f>SUMIF($I180,"수",$Q180)</f>
        <v>0</v>
      </c>
      <c r="V180" s="375">
        <f>SUMIF($I180,"잡",$Q180)</f>
        <v>0</v>
      </c>
      <c r="W180" s="375">
        <f>SUMIF($I180,"후(지)",$Q180)</f>
        <v>0</v>
      </c>
      <c r="X180" s="375">
        <f>SUMIF($I180,"후(비)",$Q180)</f>
        <v>0</v>
      </c>
      <c r="Y180" s="377">
        <f t="shared" si="34"/>
        <v>0</v>
      </c>
      <c r="AA180" s="88"/>
      <c r="AB180" s="19"/>
      <c r="AC180" s="19"/>
    </row>
    <row r="181" spans="1:29" ht="18.75" customHeight="1">
      <c r="A181" s="480"/>
      <c r="B181" s="481"/>
      <c r="C181" s="482"/>
      <c r="D181" s="81"/>
      <c r="E181" s="81"/>
      <c r="F181" s="476"/>
      <c r="G181" s="115"/>
      <c r="H181" s="93" t="s">
        <v>34</v>
      </c>
      <c r="I181" s="472" t="s">
        <v>174</v>
      </c>
      <c r="J181" s="84">
        <v>50000</v>
      </c>
      <c r="K181" s="86" t="s">
        <v>160</v>
      </c>
      <c r="L181" s="94">
        <f>세입!L22</f>
        <v>37</v>
      </c>
      <c r="M181" s="86" t="s">
        <v>162</v>
      </c>
      <c r="N181" s="95">
        <f>세입!N22</f>
        <v>1</v>
      </c>
      <c r="O181" s="86" t="s">
        <v>169</v>
      </c>
      <c r="P181" s="95" t="s">
        <v>0</v>
      </c>
      <c r="Q181" s="346">
        <f>ROUNDDOWN(J181*L181*N181,-3)</f>
        <v>1850000</v>
      </c>
      <c r="R181" s="356"/>
      <c r="S181" s="455"/>
      <c r="T181" s="383">
        <f>SUMIF($I181,"보",$Q181)</f>
        <v>1850000</v>
      </c>
      <c r="U181" s="375">
        <f>SUMIF($I181,"수",$Q181)</f>
        <v>0</v>
      </c>
      <c r="V181" s="375">
        <f>SUMIF($I181,"잡",$Q181)</f>
        <v>0</v>
      </c>
      <c r="W181" s="375">
        <f>SUMIF($I181,"후(지)",$Q181)</f>
        <v>0</v>
      </c>
      <c r="X181" s="375">
        <f>SUMIF($I181,"후(비)",$Q181)</f>
        <v>0</v>
      </c>
      <c r="Y181" s="377">
        <f t="shared" si="34"/>
        <v>0</v>
      </c>
      <c r="AA181" s="88"/>
      <c r="AB181" s="19"/>
      <c r="AC181" s="19"/>
    </row>
    <row r="182" spans="1:29" ht="18" customHeight="1">
      <c r="A182" s="532" t="s">
        <v>129</v>
      </c>
      <c r="B182" s="533"/>
      <c r="C182" s="533"/>
      <c r="D182" s="81">
        <f>D183+D216</f>
        <v>570</v>
      </c>
      <c r="E182" s="413">
        <f>SUM(T182:X187)*0.001</f>
        <v>530</v>
      </c>
      <c r="F182" s="476">
        <f>E182-D182</f>
        <v>-40</v>
      </c>
      <c r="G182" s="92"/>
      <c r="H182" s="477"/>
      <c r="I182" s="478"/>
      <c r="J182" s="95"/>
      <c r="K182" s="86"/>
      <c r="L182" s="94"/>
      <c r="M182" s="86"/>
      <c r="N182" s="95"/>
      <c r="O182" s="86"/>
      <c r="P182" s="479"/>
      <c r="Q182" s="346"/>
      <c r="R182" s="355"/>
      <c r="S182" s="454"/>
      <c r="T182" s="405" t="str">
        <f>A182</f>
        <v>08.예비비및기타</v>
      </c>
      <c r="U182" s="371"/>
      <c r="V182" s="371"/>
      <c r="W182" s="371"/>
      <c r="X182" s="371"/>
      <c r="Y182" s="377">
        <f>SUM(T182:X182)-Q182</f>
        <v>0</v>
      </c>
      <c r="AA182" s="88"/>
      <c r="AB182" s="19"/>
      <c r="AC182" s="19"/>
    </row>
    <row r="183" spans="1:29" ht="18" customHeight="1">
      <c r="A183" s="62"/>
      <c r="B183" s="546" t="s">
        <v>130</v>
      </c>
      <c r="C183" s="516"/>
      <c r="D183" s="49">
        <f>SUM(D184:D187)</f>
        <v>570</v>
      </c>
      <c r="E183" s="50">
        <f>SUM(T183:X187)*0.001</f>
        <v>530</v>
      </c>
      <c r="F183" s="66">
        <f>E183-D183</f>
        <v>-40</v>
      </c>
      <c r="G183" s="129"/>
      <c r="H183" s="130"/>
      <c r="I183" s="29"/>
      <c r="J183" s="131"/>
      <c r="K183" s="106"/>
      <c r="L183" s="107"/>
      <c r="M183" s="106"/>
      <c r="N183" s="108"/>
      <c r="O183" s="106"/>
      <c r="P183" s="109"/>
      <c r="Q183" s="110"/>
      <c r="R183" s="355"/>
      <c r="S183" s="454"/>
      <c r="T183" s="405" t="str">
        <f>B183</f>
        <v>81.예비비및기타</v>
      </c>
      <c r="U183" s="407"/>
      <c r="V183" s="367"/>
      <c r="W183" s="367"/>
      <c r="X183" s="371"/>
      <c r="Y183" s="377">
        <f>SUM(T183:X183)-Q183</f>
        <v>0</v>
      </c>
      <c r="AA183" s="88"/>
      <c r="AB183" s="19"/>
      <c r="AC183" s="19"/>
    </row>
    <row r="184" spans="1:29" ht="18" customHeight="1">
      <c r="A184" s="62"/>
      <c r="B184" s="132"/>
      <c r="C184" s="68" t="s">
        <v>91</v>
      </c>
      <c r="D184" s="69">
        <v>430</v>
      </c>
      <c r="E184" s="50">
        <f>SUM(T184:X185)*0.001</f>
        <v>500</v>
      </c>
      <c r="F184" s="66">
        <f>E184-D184</f>
        <v>70</v>
      </c>
      <c r="G184" s="335" t="s">
        <v>267</v>
      </c>
      <c r="H184" s="306" t="s">
        <v>297</v>
      </c>
      <c r="I184" s="393"/>
      <c r="J184" s="303"/>
      <c r="K184" s="106"/>
      <c r="L184" s="107"/>
      <c r="M184" s="106"/>
      <c r="N184" s="108"/>
      <c r="O184" s="106"/>
      <c r="P184" s="109"/>
      <c r="Q184" s="110"/>
      <c r="R184" s="355"/>
      <c r="S184" s="445">
        <f>SUM(T184:X185)</f>
        <v>500000</v>
      </c>
      <c r="T184" s="386" t="str">
        <f>H184</f>
        <v>예비비</v>
      </c>
      <c r="U184" s="387"/>
      <c r="V184" s="388"/>
      <c r="W184" s="388"/>
      <c r="X184" s="389"/>
      <c r="Y184" s="377">
        <f>SUM(T184:X184)-Q184</f>
        <v>0</v>
      </c>
      <c r="AA184" s="88"/>
      <c r="AB184" s="19"/>
      <c r="AC184" s="19"/>
    </row>
    <row r="185" spans="1:29" ht="18" customHeight="1">
      <c r="A185" s="101"/>
      <c r="B185" s="132"/>
      <c r="C185" s="68"/>
      <c r="D185" s="69"/>
      <c r="E185" s="70"/>
      <c r="F185" s="71"/>
      <c r="G185" s="87"/>
      <c r="H185" s="114" t="s">
        <v>155</v>
      </c>
      <c r="I185" s="394" t="s">
        <v>214</v>
      </c>
      <c r="J185" s="103">
        <v>500000</v>
      </c>
      <c r="K185" s="76" t="s">
        <v>160</v>
      </c>
      <c r="L185" s="77">
        <v>1</v>
      </c>
      <c r="M185" s="76" t="s">
        <v>172</v>
      </c>
      <c r="N185" s="78"/>
      <c r="O185" s="76"/>
      <c r="P185" s="78" t="s">
        <v>0</v>
      </c>
      <c r="Q185" s="79">
        <f>ROUNDDOWN(J185*L185,-3)</f>
        <v>500000</v>
      </c>
      <c r="R185" s="356"/>
      <c r="S185" s="455"/>
      <c r="T185" s="383">
        <f>SUMIF($I185,"보",$Q185)</f>
        <v>0</v>
      </c>
      <c r="U185" s="375">
        <f>SUMIF($I185,"수",$Q185)</f>
        <v>0</v>
      </c>
      <c r="V185" s="375">
        <f>SUMIF($I185,"잡",$Q185)</f>
        <v>0</v>
      </c>
      <c r="W185" s="375">
        <f>SUMIF($I185,"후(지)",$Q185)</f>
        <v>0</v>
      </c>
      <c r="X185" s="375">
        <f>SUMIF($I185,"후(비)",$Q185)</f>
        <v>500000</v>
      </c>
      <c r="Y185" s="377">
        <f>SUM(T185:X185)-Q185</f>
        <v>0</v>
      </c>
      <c r="AA185" s="88"/>
      <c r="AB185" s="19"/>
      <c r="AC185" s="19"/>
    </row>
    <row r="186" spans="1:29" ht="18" customHeight="1">
      <c r="A186" s="101"/>
      <c r="B186" s="132"/>
      <c r="C186" s="64" t="s">
        <v>131</v>
      </c>
      <c r="D186" s="65">
        <v>140</v>
      </c>
      <c r="E186" s="50">
        <f>SUM(T186:X187)*0.001</f>
        <v>30</v>
      </c>
      <c r="F186" s="66">
        <f>E186-D186</f>
        <v>-110</v>
      </c>
      <c r="G186" s="335" t="s">
        <v>267</v>
      </c>
      <c r="H186" s="306" t="s">
        <v>309</v>
      </c>
      <c r="I186" s="393"/>
      <c r="J186" s="303"/>
      <c r="K186" s="106"/>
      <c r="L186" s="107"/>
      <c r="M186" s="106"/>
      <c r="N186" s="108"/>
      <c r="O186" s="106"/>
      <c r="P186" s="109"/>
      <c r="Q186" s="110"/>
      <c r="R186" s="355"/>
      <c r="S186" s="445">
        <f>SUM(T186:X187)</f>
        <v>30000</v>
      </c>
      <c r="T186" s="386" t="str">
        <f>H186</f>
        <v>보조금반환금</v>
      </c>
      <c r="U186" s="387"/>
      <c r="V186" s="388"/>
      <c r="W186" s="388"/>
      <c r="X186" s="389"/>
      <c r="Y186" s="377">
        <f>SUM(T186:X186)-Q186</f>
        <v>0</v>
      </c>
      <c r="AA186" s="88"/>
      <c r="AB186" s="19"/>
      <c r="AC186" s="19"/>
    </row>
    <row r="187" spans="1:29" ht="18" customHeight="1" thickBot="1">
      <c r="A187" s="286"/>
      <c r="B187" s="292"/>
      <c r="C187" s="146"/>
      <c r="D187" s="147"/>
      <c r="E187" s="282"/>
      <c r="F187" s="149"/>
      <c r="G187" s="150"/>
      <c r="H187" s="151" t="s">
        <v>156</v>
      </c>
      <c r="I187" s="403" t="s">
        <v>117</v>
      </c>
      <c r="J187" s="269">
        <f>세입!J40</f>
        <v>30000</v>
      </c>
      <c r="K187" s="153" t="s">
        <v>160</v>
      </c>
      <c r="L187" s="271">
        <v>1</v>
      </c>
      <c r="M187" s="153" t="s">
        <v>172</v>
      </c>
      <c r="N187" s="152"/>
      <c r="O187" s="153"/>
      <c r="P187" s="152" t="s">
        <v>0</v>
      </c>
      <c r="Q187" s="154">
        <f>ROUNDDOWN(J187*L187,-3)</f>
        <v>30000</v>
      </c>
      <c r="R187" s="356"/>
      <c r="S187" s="456"/>
      <c r="T187" s="383">
        <f>SUMIF($I187,"보",$Q187)</f>
        <v>30000</v>
      </c>
      <c r="U187" s="375">
        <f>SUMIF($I187,"수",$Q187)</f>
        <v>0</v>
      </c>
      <c r="V187" s="375">
        <f>SUMIF($I187,"잡",$Q187)</f>
        <v>0</v>
      </c>
      <c r="W187" s="375">
        <f>SUMIF($I187,"후(지)",$Q187)</f>
        <v>0</v>
      </c>
      <c r="X187" s="375">
        <f>SUMIF($I187,"후(비)",$Q187)</f>
        <v>0</v>
      </c>
      <c r="Y187" s="377">
        <f>SUM(T186:X186)-Q186</f>
        <v>0</v>
      </c>
      <c r="AA187" s="88"/>
      <c r="AB187" s="19"/>
      <c r="AC187" s="19"/>
    </row>
    <row r="188" spans="1:29" ht="15.75" customHeight="1">
      <c r="A188" s="19"/>
      <c r="C188" s="19"/>
      <c r="D188" s="17"/>
      <c r="E188" s="17"/>
      <c r="F188" s="19"/>
      <c r="H188" s="19"/>
      <c r="I188" s="155"/>
      <c r="J188" s="19"/>
      <c r="K188" s="19"/>
      <c r="L188" s="19"/>
      <c r="M188" s="19"/>
      <c r="N188" s="156"/>
      <c r="O188" s="19"/>
      <c r="P188" s="156"/>
      <c r="Q188" s="17"/>
      <c r="S188" s="461"/>
      <c r="T188" s="157"/>
      <c r="Y188" s="296"/>
      <c r="AA188" s="88"/>
      <c r="AB188" s="19"/>
      <c r="AC188" s="19"/>
    </row>
  </sheetData>
  <sheetProtection password="CC65" sheet="1"/>
  <mergeCells count="23">
    <mergeCell ref="B8:C8"/>
    <mergeCell ref="A7:C7"/>
    <mergeCell ref="R2:S2"/>
    <mergeCell ref="R5:S5"/>
    <mergeCell ref="A4:C4"/>
    <mergeCell ref="R6:S6"/>
    <mergeCell ref="A6:C6"/>
    <mergeCell ref="Z8:Z9"/>
    <mergeCell ref="B183:C183"/>
    <mergeCell ref="A182:C182"/>
    <mergeCell ref="B154:C154"/>
    <mergeCell ref="B128:C128"/>
    <mergeCell ref="A127:C127"/>
    <mergeCell ref="B116:C116"/>
    <mergeCell ref="B46:C46"/>
    <mergeCell ref="B38:C38"/>
    <mergeCell ref="A115:C115"/>
    <mergeCell ref="U1:V1"/>
    <mergeCell ref="W1:X1"/>
    <mergeCell ref="K4:Q5"/>
    <mergeCell ref="K3:Q3"/>
    <mergeCell ref="R1:S1"/>
    <mergeCell ref="C1:C3"/>
  </mergeCells>
  <dataValidations count="2">
    <dataValidation type="list" allowBlank="1" showInputMessage="1" showErrorMessage="1" sqref="I9:I187">
      <formula1>자금원천</formula1>
    </dataValidation>
    <dataValidation type="list" allowBlank="1" showInputMessage="1" showErrorMessage="1" sqref="O9:O187 K9:K187 M9:M187">
      <formula1>단위</formula1>
    </dataValidation>
  </dataValidations>
  <printOptions/>
  <pageMargins left="1.062992125984252" right="0.1968503937007874" top="0.5905511811023623" bottom="0.4330708661417323" header="0.31496062992125984" footer="0.1968503937007874"/>
  <pageSetup horizontalDpi="600" verticalDpi="600" orientation="landscape" paperSize="9" r:id="rId1"/>
  <headerFooter>
    <oddFooter>&amp;C-&amp;P+3-&amp;R향기마을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2015-12-29T14:05:35Z</cp:lastPrinted>
  <dcterms:created xsi:type="dcterms:W3CDTF">2008-12-27T00:18:57Z</dcterms:created>
  <dcterms:modified xsi:type="dcterms:W3CDTF">2016-01-05T10:36:27Z</dcterms:modified>
  <cp:category/>
  <cp:version/>
  <cp:contentType/>
  <cp:contentStatus/>
</cp:coreProperties>
</file>