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1760" windowHeight="9120" activeTab="0"/>
  </bookViews>
  <sheets>
    <sheet name="총괄" sheetId="11" r:id="rId1"/>
    <sheet name="총괄 (2)" sheetId="18" state="hidden" r:id="rId2"/>
    <sheet name="세입예산 (2)" sheetId="19" state="hidden" r:id="rId3"/>
    <sheet name="세출예산 (2)" sheetId="20" state="hidden" r:id="rId4"/>
    <sheet name="2016년보수" sheetId="15" state="hidden" r:id="rId5"/>
  </sheets>
  <externalReferences>
    <externalReference r:id="rId8"/>
  </externalReferences>
  <definedNames>
    <definedName name="_xlnm.Print_Area" localSheetId="4">'2016년보수'!$A$1:$AF$124</definedName>
    <definedName name="_xlnm.Print_Area" localSheetId="2">'세입예산 (2)'!$A$1:$X$105</definedName>
    <definedName name="_xlnm.Print_Area" localSheetId="3">'세출예산 (2)'!$A$1:$X$191</definedName>
    <definedName name="_xlnm.Print_Area" localSheetId="0">'총괄'!$A$1:$N$60</definedName>
    <definedName name="_xlnm.Print_Area" localSheetId="1">'총괄 (2)'!$A$1:$N$63</definedName>
    <definedName name="_xlnm.Print_Titles" localSheetId="0">'총괄'!$3:$5</definedName>
    <definedName name="_xlnm.Print_Titles" localSheetId="1">'총괄 (2)'!$1:$5</definedName>
    <definedName name="_xlnm.Print_Titles" localSheetId="2">'세입예산 (2)'!$3:$3</definedName>
    <definedName name="_xlnm.Print_Titles" localSheetId="3">'세출예산 (2)'!$3:$3</definedName>
  </definedNames>
  <calcPr calcId="125725"/>
</workbook>
</file>

<file path=xl/sharedStrings.xml><?xml version="1.0" encoding="utf-8"?>
<sst xmlns="http://schemas.openxmlformats.org/spreadsheetml/2006/main" count="1180" uniqueCount="507">
  <si>
    <t>관</t>
  </si>
  <si>
    <t>항</t>
  </si>
  <si>
    <t>목</t>
  </si>
  <si>
    <t>×</t>
  </si>
  <si>
    <t>＝</t>
  </si>
  <si>
    <t>명</t>
  </si>
  <si>
    <t>월</t>
  </si>
  <si>
    <t>회</t>
  </si>
  <si>
    <t>시간</t>
  </si>
  <si>
    <t>=</t>
  </si>
  <si>
    <t>국민건강보험료</t>
  </si>
  <si>
    <t>고용보험료</t>
  </si>
  <si>
    <t>산재보험료</t>
  </si>
  <si>
    <t>13.운영비</t>
  </si>
  <si>
    <t>133.공공요금</t>
  </si>
  <si>
    <t>전화요금</t>
  </si>
  <si>
    <t>135.차량비</t>
  </si>
  <si>
    <t>213.시설장비유지비</t>
  </si>
  <si>
    <t>311.생계비</t>
  </si>
  <si>
    <t>313.피복비</t>
  </si>
  <si>
    <t>319.연료비</t>
  </si>
  <si>
    <t>71.잡지출</t>
  </si>
  <si>
    <t>711.잡지출</t>
  </si>
  <si>
    <t>11.입소비용수입</t>
  </si>
  <si>
    <t>111.입소비용수입</t>
  </si>
  <si>
    <t>연장근로수당</t>
  </si>
  <si>
    <t>/</t>
  </si>
  <si>
    <t>209</t>
  </si>
  <si>
    <t>가족수당</t>
  </si>
  <si>
    <t>장기요양보험료</t>
  </si>
  <si>
    <t>134.제세공과금</t>
  </si>
  <si>
    <t>314.의료비</t>
  </si>
  <si>
    <t>331.의료재활사업비</t>
  </si>
  <si>
    <t>333.교육재활사업비</t>
  </si>
  <si>
    <t>명절휴가비</t>
  </si>
  <si>
    <t>기본급</t>
  </si>
  <si>
    <t>성 명</t>
  </si>
  <si>
    <t>피복비</t>
  </si>
  <si>
    <t>고용보험</t>
  </si>
  <si>
    <t>장기요양</t>
  </si>
  <si>
    <t>\</t>
  </si>
  <si>
    <t>세목</t>
  </si>
  <si>
    <t>예  산  산  출  내  역</t>
  </si>
  <si>
    <t>1111. 입소비용수입</t>
  </si>
  <si>
    <t>41.경상보조금수입</t>
  </si>
  <si>
    <t>411.경상보조금수입</t>
  </si>
  <si>
    <t>%</t>
  </si>
  <si>
    <t>연장근로수당(촉탁의 제외)</t>
  </si>
  <si>
    <t>전 직원 급여의 1/12</t>
  </si>
  <si>
    <t>×</t>
  </si>
  <si>
    <t>총         계</t>
  </si>
  <si>
    <t>전 직원 급여의 *9.0%*1/2</t>
  </si>
  <si>
    <t>전 직원 급여의 *7.0%*1/2</t>
  </si>
  <si>
    <t>구</t>
  </si>
  <si>
    <t>동내의</t>
  </si>
  <si>
    <t>9월(추석)</t>
  </si>
  <si>
    <t>412.자본보조금수입</t>
  </si>
  <si>
    <t>4121.자본보조금수입</t>
  </si>
  <si>
    <t>4131.기타보조금수입</t>
  </si>
  <si>
    <t>해당사항 없음</t>
  </si>
  <si>
    <t>01.입소자부담금</t>
  </si>
  <si>
    <t>04.경상보조금수입</t>
  </si>
  <si>
    <t>05.후원금수입</t>
  </si>
  <si>
    <t>51.후원금수입</t>
  </si>
  <si>
    <t>511.지정후원금</t>
  </si>
  <si>
    <t>5111.지정후원금</t>
  </si>
  <si>
    <t>512.비지정후원금</t>
  </si>
  <si>
    <t>5121.비지정후원금</t>
  </si>
  <si>
    <t>국내외 민간단체 및 개인으로부터 후원명목으로 받은  후원목적이 지정된 수입</t>
  </si>
  <si>
    <t>국내외 민간단체 및 개인으로부터 후원명목으로 받은  후원목적이 비지정된 수입과 자선행사 수입</t>
  </si>
  <si>
    <t>08.전입금</t>
  </si>
  <si>
    <t>81.전입금</t>
  </si>
  <si>
    <t>811.법인전입금</t>
  </si>
  <si>
    <t>8111.법인전입금</t>
  </si>
  <si>
    <t>09.이월금</t>
  </si>
  <si>
    <t>91.이월금</t>
  </si>
  <si>
    <t>911.전년도이월금</t>
  </si>
  <si>
    <t>9111.전년도이월금</t>
  </si>
  <si>
    <t>9112.지정후원이월금</t>
  </si>
  <si>
    <t>9113.비지정후원이월금</t>
  </si>
  <si>
    <t>전년도에서 지정후원 이월되는 금액</t>
  </si>
  <si>
    <t>전년도에서 이월되는 금액(법인전입금)</t>
  </si>
  <si>
    <t>전년도에서 비지정후원 이월되는 금액</t>
  </si>
  <si>
    <t>07.차입금</t>
  </si>
  <si>
    <t>71.차입금</t>
  </si>
  <si>
    <t>7111.금융기관차입금</t>
  </si>
  <si>
    <t>7112.기타차입금</t>
  </si>
  <si>
    <t>711.금융기관차입금</t>
  </si>
  <si>
    <t>712.기타차입금</t>
  </si>
  <si>
    <t>금융기관으로부터의 차입금</t>
  </si>
  <si>
    <t>개인.단체 등으로부터의 차입금</t>
  </si>
  <si>
    <t>입소자로부터 받는  보호에 소요되는 비용수입</t>
  </si>
  <si>
    <t>1011.불용품매각대</t>
  </si>
  <si>
    <t>10111.불용품매각대</t>
  </si>
  <si>
    <t>1012.기타예금이자수입</t>
  </si>
  <si>
    <t>1013.기타잡수입</t>
  </si>
  <si>
    <t>10121.기타예금이자수입</t>
  </si>
  <si>
    <t>비품.집기.기계.기구 등과 그 밖의 불용품의 매각대</t>
  </si>
  <si>
    <t>기본재산예금 외의 예금이자 수입</t>
  </si>
  <si>
    <t>그 밖의 재산매각수입, 변상금 및 위약금수입 등과 다른과목 속하지 아니한 수입</t>
  </si>
  <si>
    <t>01.사무비</t>
  </si>
  <si>
    <t>11.인건비</t>
  </si>
  <si>
    <t>111.급여</t>
  </si>
  <si>
    <t>1111.급여</t>
  </si>
  <si>
    <t>112.상여금</t>
  </si>
  <si>
    <t>113.일용잡금</t>
  </si>
  <si>
    <t>1131.일용잡금</t>
  </si>
  <si>
    <t>114.제 수 당</t>
  </si>
  <si>
    <t>1141.연장근로수당</t>
  </si>
  <si>
    <t>1142.가족수당</t>
  </si>
  <si>
    <t>1151.퇴직적립금</t>
  </si>
  <si>
    <t>115.퇴직금및퇴직적립금</t>
  </si>
  <si>
    <t>116.사회보험부담비용</t>
  </si>
  <si>
    <t>1161.국민건강보험</t>
  </si>
  <si>
    <t>1162.장기요양보험</t>
  </si>
  <si>
    <t>1163.국민연금</t>
  </si>
  <si>
    <t>1164.고용보험</t>
  </si>
  <si>
    <t>1165.산재보험</t>
  </si>
  <si>
    <t>117.기타후생경비</t>
  </si>
  <si>
    <t>12.업무추진비</t>
  </si>
  <si>
    <t>121.기관운영비</t>
  </si>
  <si>
    <t>1211.기관운영비</t>
  </si>
  <si>
    <t>131.여 비</t>
  </si>
  <si>
    <t>1311.여 비</t>
  </si>
  <si>
    <t>132.수용비및수수료</t>
  </si>
  <si>
    <t>1321.수용비및수수료</t>
  </si>
  <si>
    <t>1331.공공요금</t>
  </si>
  <si>
    <t>1341.제세공과금</t>
  </si>
  <si>
    <t>1351.차량유지비</t>
  </si>
  <si>
    <t>211.시설비</t>
  </si>
  <si>
    <t>2111.시설비</t>
  </si>
  <si>
    <t>212.자산취득비</t>
  </si>
  <si>
    <t>2121.자산취득비</t>
  </si>
  <si>
    <t>2131.시설장비유지비</t>
  </si>
  <si>
    <t>3111.주.부식비</t>
  </si>
  <si>
    <t>312. 수용기관경비</t>
  </si>
  <si>
    <t>3121.수용기관경비</t>
  </si>
  <si>
    <t>3131.피복비</t>
  </si>
  <si>
    <t>3141.의료비</t>
  </si>
  <si>
    <t>3151.장의비</t>
  </si>
  <si>
    <t>315. 장의비</t>
  </si>
  <si>
    <t>316.직업재활비</t>
  </si>
  <si>
    <t>3161.직업재활비</t>
  </si>
  <si>
    <t>317.자활사업비</t>
  </si>
  <si>
    <t>3171.자활사업비</t>
  </si>
  <si>
    <t>318.특별급식비</t>
  </si>
  <si>
    <t>3181.특별급식비</t>
  </si>
  <si>
    <t>3191.난방연료비</t>
  </si>
  <si>
    <t>1171.기타후생경비</t>
  </si>
  <si>
    <t>직원의 상용피복비, 건강진단비, 급량비 등 그밖에 복리후생에 소요되는 비용</t>
  </si>
  <si>
    <t>분기</t>
  </si>
  <si>
    <t>직원 식사제공 비용 수입</t>
  </si>
  <si>
    <t>기관운영 및 유관기관과의 업무협의 등에 소요되는 제경비</t>
  </si>
  <si>
    <t>운영위원회,부모회, 기타 회의 비용</t>
  </si>
  <si>
    <t>시설 직원의 국내.외 출장경비</t>
  </si>
  <si>
    <t>사무용품비⋅인쇄비⋅집기구입비⋅도서구입비⋅공고료⋅수수료⋅등기료⋅운송비⋅통행료 및 주차료⋅소규모수선비⋅포장비 등</t>
  </si>
  <si>
    <t>우편료⋅전신전화료⋅전기료⋅상하수도료⋅가스료 및 오물수거료</t>
  </si>
  <si>
    <t>법령에 의하여 지급하는 제세(자동차세 등), 협회가입비, 화재⋅자동차보험료, 기타 보험료</t>
  </si>
  <si>
    <t>기타 요금</t>
  </si>
  <si>
    <t>영업배상책임보험</t>
  </si>
  <si>
    <t>화재보험</t>
  </si>
  <si>
    <t>기타</t>
  </si>
  <si>
    <t>회(년)</t>
  </si>
  <si>
    <t>차량유류대⋅차량정비유지비⋅차량소모품</t>
  </si>
  <si>
    <t>1361.기타운영비</t>
  </si>
  <si>
    <t>건물 및 건축설비, 공구⋅기구, 비품수선비 그 밖의 시설물의 유지관리비</t>
  </si>
  <si>
    <t>입소자를 위한 수용비(치약⋅칫솔⋅수건구입비 등)</t>
  </si>
  <si>
    <t>입소자의 피복비</t>
  </si>
  <si>
    <t>입소자의 간식, 우유 등 생계외의 급식제공을 위한 비용</t>
  </si>
  <si>
    <t>월(1인)</t>
  </si>
  <si>
    <t>주식비, 부식비, 특별부식비, 장유비</t>
  </si>
  <si>
    <t>입소자의 보건위생 및 시약대</t>
  </si>
  <si>
    <t>입소자중 사망자의 장의비</t>
  </si>
  <si>
    <t>33.사업비</t>
  </si>
  <si>
    <t>3311.의료재활사업비</t>
  </si>
  <si>
    <t>3331.교육재활사업비</t>
  </si>
  <si>
    <t>332.사회심리재활사업비</t>
  </si>
  <si>
    <t>3321.사회심리재활사업비</t>
  </si>
  <si>
    <t>334.직업재활사업비</t>
  </si>
  <si>
    <t>3341.직업재활사업비</t>
  </si>
  <si>
    <t>335.지역사회자원관리사업비</t>
  </si>
  <si>
    <t>3351.지역사회자원관리사업비</t>
  </si>
  <si>
    <t>06.부채상환금</t>
  </si>
  <si>
    <t>07.잡지출</t>
  </si>
  <si>
    <t>7111.잡지출</t>
  </si>
  <si>
    <t>10132. 직원식대</t>
  </si>
  <si>
    <t>08.예비비</t>
  </si>
  <si>
    <t>81.예비비</t>
  </si>
  <si>
    <t>811.예비비</t>
  </si>
  <si>
    <t>8111.예비비</t>
  </si>
  <si>
    <t>시설이 지출하는 보상금·사례금·소송경비 등</t>
  </si>
  <si>
    <t>10131.기타잡수입</t>
  </si>
  <si>
    <t>이용자(재활⋅물리⋅작업⋅언어⋅청능)치료비, 수술비용, 의수족 등 보장구제작수리비 또는 입소자를 위한 의료재활 프로그램비용</t>
  </si>
  <si>
    <t>입소자를 위한 사회심리재활 프로그램운영비</t>
  </si>
  <si>
    <t>입소자를 위한 교육프로그램운영비</t>
  </si>
  <si>
    <t>입소자를 위한 직업재활프로그램 운영비</t>
  </si>
  <si>
    <t>홍보사업에 관련된 운영비(소식지, 팜플렛제작, 홍페이지 제작비)</t>
  </si>
  <si>
    <t>소식지</t>
  </si>
  <si>
    <t>팜플렛 제작</t>
  </si>
  <si>
    <t>사회적응훈련</t>
  </si>
  <si>
    <t>건강검진</t>
  </si>
  <si>
    <t>이용자치료비</t>
  </si>
  <si>
    <t>예비비</t>
  </si>
  <si>
    <t>일급 또는 단기간 채용하는 임시직에 대한 급여</t>
  </si>
  <si>
    <t>413.기타보조금수입</t>
  </si>
  <si>
    <t>개월</t>
  </si>
  <si>
    <t>03.사업비</t>
  </si>
  <si>
    <t>02.재산   조정비</t>
  </si>
  <si>
    <t>21.시설비</t>
  </si>
  <si>
    <t>06.부채   상환금</t>
  </si>
  <si>
    <t>61.부채     상환금</t>
  </si>
  <si>
    <t>총   계</t>
  </si>
  <si>
    <t>01.입소자부담금수입</t>
  </si>
  <si>
    <t>01.사무비</t>
  </si>
  <si>
    <t>입소자부담금수입</t>
  </si>
  <si>
    <t>인건비</t>
  </si>
  <si>
    <t>급여</t>
  </si>
  <si>
    <t>04.보조금수입</t>
  </si>
  <si>
    <t>상여금</t>
  </si>
  <si>
    <t>보조금수입</t>
  </si>
  <si>
    <t>일용잡금</t>
  </si>
  <si>
    <t>경상보조금수입</t>
  </si>
  <si>
    <t>제수당</t>
  </si>
  <si>
    <t>자본보조수입</t>
  </si>
  <si>
    <t>퇴직금및퇴직적립금</t>
  </si>
  <si>
    <t>기타보조수입</t>
  </si>
  <si>
    <t>사회보험부담비용</t>
  </si>
  <si>
    <t>05.후원금수입</t>
  </si>
  <si>
    <t>기타후생경비</t>
  </si>
  <si>
    <t>후원금수입</t>
  </si>
  <si>
    <t>업무추진비</t>
  </si>
  <si>
    <t>지정후원금</t>
  </si>
  <si>
    <t>기관운영비</t>
  </si>
  <si>
    <t>비지정후원금</t>
  </si>
  <si>
    <t>07.차입금</t>
  </si>
  <si>
    <t>회의비</t>
  </si>
  <si>
    <t>차입금</t>
  </si>
  <si>
    <t>운영비</t>
  </si>
  <si>
    <t>금융기관차입금</t>
  </si>
  <si>
    <t>여 비</t>
  </si>
  <si>
    <t>기타차입금</t>
  </si>
  <si>
    <t>수용비및수수료</t>
  </si>
  <si>
    <t>08.전입금</t>
  </si>
  <si>
    <t>공공요금</t>
  </si>
  <si>
    <t>전입금</t>
  </si>
  <si>
    <t>제세공과금</t>
  </si>
  <si>
    <t>법인전입금</t>
  </si>
  <si>
    <t>차량비</t>
  </si>
  <si>
    <t>09.이월금</t>
  </si>
  <si>
    <t>02.재산조성비</t>
  </si>
  <si>
    <t>이월금</t>
  </si>
  <si>
    <t>시설비</t>
  </si>
  <si>
    <t>전년도이월금</t>
  </si>
  <si>
    <t>이월사업비</t>
  </si>
  <si>
    <t>자산취득비</t>
  </si>
  <si>
    <t>시설장비유지비</t>
  </si>
  <si>
    <t>불용품매각대</t>
  </si>
  <si>
    <t>사업비</t>
  </si>
  <si>
    <t>기타예금이자수입</t>
  </si>
  <si>
    <t>생계비</t>
  </si>
  <si>
    <t>기타잡수입</t>
  </si>
  <si>
    <t>수용기관경비</t>
  </si>
  <si>
    <t>의료비</t>
  </si>
  <si>
    <t>장의비</t>
  </si>
  <si>
    <t>직업재활비</t>
  </si>
  <si>
    <t>자활사업비</t>
  </si>
  <si>
    <t>특별급식비</t>
  </si>
  <si>
    <t>연료비</t>
  </si>
  <si>
    <t>교통비</t>
  </si>
  <si>
    <t>수학여행비</t>
  </si>
  <si>
    <t>기타교육비</t>
  </si>
  <si>
    <t>의료재활사업비</t>
  </si>
  <si>
    <t>사회심리재활사업비</t>
  </si>
  <si>
    <t>교육재활사업비</t>
  </si>
  <si>
    <t>직업재활사업비</t>
  </si>
  <si>
    <t>지역사회자원관리사업비</t>
  </si>
  <si>
    <t>부채상환금</t>
  </si>
  <si>
    <t>원금상환금</t>
  </si>
  <si>
    <t>이자지불금</t>
  </si>
  <si>
    <t>잡지출</t>
  </si>
  <si>
    <t>08.예비비</t>
  </si>
  <si>
    <t>예비비</t>
  </si>
  <si>
    <t>921.이월사업비</t>
  </si>
  <si>
    <t>9211.이월사업비</t>
  </si>
  <si>
    <t>전년도에 종료되지 못한 이월사업비</t>
  </si>
  <si>
    <t>법인으로부터의 전입금</t>
  </si>
  <si>
    <t>증감</t>
  </si>
  <si>
    <t>2월(설날)</t>
  </si>
  <si>
    <t>(해당 당월총인건비)</t>
  </si>
  <si>
    <t>2인가족수당</t>
  </si>
  <si>
    <t xml:space="preserve">기본지원비 1개소 </t>
  </si>
  <si>
    <t>보안시스템</t>
  </si>
  <si>
    <t>9,10,3,4월</t>
  </si>
  <si>
    <t>5,6,7,8월</t>
  </si>
  <si>
    <t>자동차보험</t>
  </si>
  <si>
    <t>대</t>
  </si>
  <si>
    <t>협회 월 회비</t>
  </si>
  <si>
    <t>취사 L.P.G 사용료</t>
  </si>
  <si>
    <t>김장,장담이</t>
  </si>
  <si>
    <t>122.회의비</t>
  </si>
  <si>
    <t>1221.회 의 비</t>
  </si>
  <si>
    <t>51.보조금반환</t>
  </si>
  <si>
    <t>511.보조금반환</t>
  </si>
  <si>
    <t>5111.보조금반환</t>
  </si>
  <si>
    <t>05.보조금반환</t>
  </si>
  <si>
    <t>보조금반환</t>
  </si>
  <si>
    <t>보조금반환</t>
  </si>
  <si>
    <t>직책보조수당</t>
  </si>
  <si>
    <t>전 직원 급여의*5.64%* 1/2</t>
  </si>
  <si>
    <t>전 직원 급여의 *7%*1/2</t>
  </si>
  <si>
    <t>정수기관리비</t>
  </si>
  <si>
    <t>기타구입비:월</t>
  </si>
  <si>
    <t>3113.취사연료비</t>
  </si>
  <si>
    <t>3112.특별위로비</t>
  </si>
  <si>
    <t xml:space="preserve">전기보일러 </t>
  </si>
  <si>
    <t>국민건강보험료의 *13.1%*1/2</t>
  </si>
  <si>
    <t>홈페이지관리비</t>
  </si>
  <si>
    <t>4111.인건비</t>
  </si>
  <si>
    <t>퇴직적립금</t>
  </si>
  <si>
    <t>국민연금보험</t>
  </si>
  <si>
    <t>4119.월동김장비</t>
  </si>
  <si>
    <t>6111.원금상환금</t>
  </si>
  <si>
    <t>6121.이자지불금</t>
  </si>
  <si>
    <t>611.원금상환금</t>
  </si>
  <si>
    <t>612.이자지불금</t>
  </si>
  <si>
    <t>31.운영비</t>
  </si>
  <si>
    <t>전기안전관리비</t>
  </si>
  <si>
    <t>월(직원식대)</t>
  </si>
  <si>
    <t>엘림소망의집</t>
  </si>
  <si>
    <t>136.   기 타           운영비</t>
  </si>
  <si>
    <t>번호</t>
  </si>
  <si>
    <t>직 책</t>
  </si>
  <si>
    <t>승급월</t>
  </si>
  <si>
    <t>호봉</t>
  </si>
  <si>
    <t>2015년</t>
  </si>
  <si>
    <t>기본급소계              (ⓐ)</t>
  </si>
  <si>
    <t>제  수  당(ⓑ)</t>
  </si>
  <si>
    <t>총    계ⓐ</t>
  </si>
  <si>
    <t>연금보수월액</t>
  </si>
  <si>
    <t>연금보험료</t>
  </si>
  <si>
    <t>건강보수월액</t>
  </si>
  <si>
    <t>사  대  보  험(ⓒ)</t>
  </si>
  <si>
    <t>퇴직적립금                   (ⓓ)</t>
  </si>
  <si>
    <t>지급총액                (ⓔ=ⓐ+ⓑ+ⓒ+ⓓ)</t>
  </si>
  <si>
    <t>2014년</t>
  </si>
  <si>
    <t>2013년결산급여</t>
  </si>
  <si>
    <t>소 계</t>
  </si>
  <si>
    <t>인산율</t>
  </si>
  <si>
    <t>소계</t>
  </si>
  <si>
    <t>국민건강</t>
  </si>
  <si>
    <t>국민연금</t>
  </si>
  <si>
    <t>직원</t>
  </si>
  <si>
    <t>산재보험</t>
  </si>
  <si>
    <t>원장</t>
  </si>
  <si>
    <t>신규</t>
  </si>
  <si>
    <t>사무국장</t>
  </si>
  <si>
    <t>사회복지사</t>
  </si>
  <si>
    <t>간호사</t>
  </si>
  <si>
    <t>요양보호사</t>
  </si>
  <si>
    <t>영양사</t>
  </si>
  <si>
    <t>조리원</t>
  </si>
  <si>
    <t>위생원</t>
  </si>
  <si>
    <t>계</t>
  </si>
  <si>
    <t>과장</t>
  </si>
  <si>
    <t>생활지도원</t>
  </si>
  <si>
    <t>조리원</t>
  </si>
  <si>
    <t>위생원</t>
  </si>
  <si>
    <t>간호조무사</t>
  </si>
  <si>
    <t>물리치료사</t>
  </si>
  <si>
    <t>번호</t>
  </si>
  <si>
    <t>직 책</t>
  </si>
  <si>
    <t>호봉</t>
  </si>
  <si>
    <t>원장</t>
  </si>
  <si>
    <t>사무국장</t>
  </si>
  <si>
    <t>사회재활교사</t>
  </si>
  <si>
    <t>생활지도원</t>
  </si>
  <si>
    <t>조리원</t>
  </si>
  <si>
    <t>대체인력</t>
  </si>
  <si>
    <t>위생원</t>
  </si>
  <si>
    <t>사무원</t>
  </si>
  <si>
    <t>간호조무사</t>
  </si>
  <si>
    <t>물리치료사</t>
  </si>
  <si>
    <t>계</t>
  </si>
  <si>
    <t>작업치료사</t>
  </si>
  <si>
    <t>박세혁</t>
  </si>
  <si>
    <t>김춘희</t>
  </si>
  <si>
    <t>전상현</t>
  </si>
  <si>
    <t>이원영</t>
  </si>
  <si>
    <t>김계주</t>
  </si>
  <si>
    <t>김극진</t>
  </si>
  <si>
    <t>김세현</t>
  </si>
  <si>
    <t>이종영</t>
  </si>
  <si>
    <t>오재흠</t>
  </si>
  <si>
    <t>박민지</t>
  </si>
  <si>
    <t>손성호</t>
  </si>
  <si>
    <t>김민지</t>
  </si>
  <si>
    <t>정동만</t>
  </si>
  <si>
    <t>김봉란</t>
  </si>
  <si>
    <t>서숙재</t>
  </si>
  <si>
    <t>정안순</t>
  </si>
  <si>
    <t>황효섭</t>
  </si>
  <si>
    <t>양은하</t>
  </si>
  <si>
    <t>박은정</t>
  </si>
  <si>
    <t>1분기보험</t>
  </si>
  <si>
    <t>실계</t>
  </si>
  <si>
    <t>의사</t>
  </si>
  <si>
    <t>8121.법인전입금(후원금)</t>
  </si>
  <si>
    <t>101.잡수입</t>
  </si>
  <si>
    <t>10.잡수입</t>
  </si>
  <si>
    <t>(1~9월:10명, 10~12월:12명)</t>
  </si>
  <si>
    <t>4112.종사자수당</t>
  </si>
  <si>
    <t xml:space="preserve">종사자수당 </t>
  </si>
  <si>
    <t>5년이상근로자</t>
  </si>
  <si>
    <t>5년이하근로자</t>
  </si>
  <si>
    <t>372,216,060*1/12=</t>
  </si>
  <si>
    <t>10,837,730*6.55%=</t>
  </si>
  <si>
    <t>372,216,060*2.995%=</t>
  </si>
  <si>
    <t>372,216,060*4.5%=</t>
  </si>
  <si>
    <t>372,216,060*0.78%=</t>
  </si>
  <si>
    <t>372,216,060*0.9%=</t>
  </si>
  <si>
    <t>4113.관리운영비</t>
  </si>
  <si>
    <t>4114.프로그램사업비</t>
  </si>
  <si>
    <t>기초생활수급권자 1인 장제비 750,000</t>
  </si>
  <si>
    <t>정부보조 주식, 부식, 취사,피복비 1인 월200,296원</t>
  </si>
  <si>
    <t>효도관광비 1인20,000원</t>
  </si>
  <si>
    <t>4115.장의비</t>
  </si>
  <si>
    <t>4116.생계비</t>
  </si>
  <si>
    <t>4117.특별위로비</t>
  </si>
  <si>
    <t>4118.월동대책비</t>
  </si>
  <si>
    <t>411a.효도관광비</t>
  </si>
  <si>
    <t>명절(설,추석) 특별위로비 1인29,000원</t>
  </si>
  <si>
    <t>월동대책비 1인28,676원</t>
  </si>
  <si>
    <t>월동김장 1인55,000</t>
  </si>
  <si>
    <t>812.법인후원전입금</t>
  </si>
  <si>
    <t>912.전년도이월금(후원금)</t>
  </si>
  <si>
    <t>배우자1인:40,000원 부양가족1인20,000원기준</t>
  </si>
  <si>
    <t>요양보호사,조리원 40시간 그 외 20시간</t>
  </si>
  <si>
    <t>3인가족수당</t>
  </si>
  <si>
    <t>가족수당:  배우자 1인40,000원 자녀 1인20,000원</t>
  </si>
  <si>
    <t>1143.종사자수당</t>
  </si>
  <si>
    <t xml:space="preserve">전 직원 </t>
  </si>
  <si>
    <t>프로그램</t>
  </si>
  <si>
    <t>효도관광비</t>
  </si>
  <si>
    <t>11,12,1,2월</t>
  </si>
  <si>
    <t>기초수급자</t>
  </si>
  <si>
    <t>실비입소자</t>
  </si>
  <si>
    <t>프로그램지원비</t>
  </si>
  <si>
    <t>촉탁의</t>
  </si>
  <si>
    <t>2016년 엘림믿음의집 인건비 산출내역</t>
  </si>
  <si>
    <t>(단위:천원)</t>
  </si>
  <si>
    <t>잡수입</t>
  </si>
  <si>
    <t>1121.상여금</t>
  </si>
  <si>
    <t>1145.명절휴가비</t>
  </si>
  <si>
    <t>(단위: 천원)</t>
  </si>
  <si>
    <t>세      입</t>
  </si>
  <si>
    <t>세     출</t>
  </si>
  <si>
    <t>예산액</t>
  </si>
  <si>
    <t>전년도예산액</t>
  </si>
  <si>
    <t>금액</t>
  </si>
  <si>
    <t>비율(%)</t>
  </si>
  <si>
    <t>일용잡급</t>
  </si>
  <si>
    <t>시군구보조금</t>
  </si>
  <si>
    <t>기타보조금</t>
  </si>
  <si>
    <t>후원법인전입금</t>
  </si>
  <si>
    <t>-</t>
  </si>
  <si>
    <t>09.예비비</t>
  </si>
  <si>
    <t>예산액(A)</t>
  </si>
  <si>
    <t>전년도        예산액(B)</t>
  </si>
  <si>
    <t>증감(A-B)</t>
  </si>
  <si>
    <t>반기별</t>
  </si>
  <si>
    <t>상반기</t>
  </si>
  <si>
    <t>하반기</t>
  </si>
  <si>
    <t>상반기</t>
  </si>
  <si>
    <t xml:space="preserve">   원 장 (6호봉)</t>
  </si>
  <si>
    <t xml:space="preserve">  사무국장 (6호봉)</t>
  </si>
  <si>
    <t xml:space="preserve">   사회재활(6호봉)</t>
  </si>
  <si>
    <t>요양보호사(6호봉)</t>
  </si>
  <si>
    <t>조리원(6호봉)</t>
  </si>
  <si>
    <t>영양사(6호봉)</t>
  </si>
  <si>
    <t>간호사(6호봉)</t>
  </si>
  <si>
    <t>위생원(6호봉)</t>
  </si>
  <si>
    <t>2014년 급여기준 30%인상율적용</t>
  </si>
  <si>
    <t>설날 기본급*60%, 추석 기본급*60%=</t>
  </si>
  <si>
    <r>
      <t>2016년 세입</t>
    </r>
    <r>
      <rPr>
        <u val="single"/>
        <sz val="22"/>
        <rFont val="굴림"/>
        <family val="3"/>
      </rPr>
      <t>ㆍ</t>
    </r>
    <r>
      <rPr>
        <b/>
        <u val="single"/>
        <sz val="22"/>
        <rFont val="굴림"/>
        <family val="3"/>
      </rPr>
      <t>세출 예산 총괄(안)</t>
    </r>
  </si>
  <si>
    <t>2016년 엘림믿음의집 세입예산서</t>
  </si>
  <si>
    <t>2016년 엘림믿음의집 세출예산서</t>
  </si>
  <si>
    <t>지역자원관리사업</t>
  </si>
  <si>
    <t>직업재활사업</t>
  </si>
  <si>
    <t>교육재활사업</t>
  </si>
  <si>
    <t>사회심리재활사업</t>
  </si>
  <si>
    <t>의료재활사업</t>
  </si>
  <si>
    <t>2014년 급여기준 3%인상율적용</t>
  </si>
  <si>
    <t>엘림믿음의집</t>
  </si>
  <si>
    <t>관</t>
  </si>
  <si>
    <t>항</t>
  </si>
  <si>
    <t>목</t>
  </si>
  <si>
    <t>증감</t>
  </si>
  <si>
    <t>금액</t>
  </si>
  <si>
    <t>비율(%)</t>
  </si>
  <si>
    <t>세      입</t>
  </si>
  <si>
    <t>세     출</t>
  </si>
  <si>
    <t>기정예산액</t>
  </si>
  <si>
    <r>
      <t>2016년  엘림믿음의집 제1차 추가경정 세입</t>
    </r>
    <r>
      <rPr>
        <u val="single"/>
        <sz val="22"/>
        <rFont val="굴림"/>
        <family val="3"/>
      </rPr>
      <t>ㆍ</t>
    </r>
    <r>
      <rPr>
        <b/>
        <u val="single"/>
        <sz val="22"/>
        <rFont val="굴림"/>
        <family val="3"/>
      </rPr>
      <t>세출 예산(안) 총괄</t>
    </r>
  </si>
  <si>
    <t>전년도이월금(후원금)</t>
  </si>
  <si>
    <t>-</t>
  </si>
  <si>
    <t>10.잡수입</t>
  </si>
  <si>
    <t>잡수입</t>
  </si>
</sst>
</file>

<file path=xl/styles.xml><?xml version="1.0" encoding="utf-8"?>
<styleSheet xmlns="http://schemas.openxmlformats.org/spreadsheetml/2006/main">
  <numFmts count="1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_);[Red]\(0\)"/>
    <numFmt numFmtId="177" formatCode="0_ "/>
    <numFmt numFmtId="178" formatCode="_-* #,##0.0_-;\-* #,##0.0_-;_-* &quot;-&quot;?_-;_-@_-"/>
    <numFmt numFmtId="179" formatCode="0.0%"/>
    <numFmt numFmtId="180" formatCode="#,##0_ "/>
    <numFmt numFmtId="181" formatCode="_-* #,##0_-;\-* #,##0_-;_-* &quot;-&quot;??_-;_-@_-"/>
    <numFmt numFmtId="182" formatCode="0.000%"/>
  </numFmts>
  <fonts count="26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돋움"/>
      <family val="3"/>
    </font>
    <font>
      <sz val="8"/>
      <name val="굴림"/>
      <family val="3"/>
    </font>
    <font>
      <b/>
      <sz val="20"/>
      <name val="굴림"/>
      <family val="3"/>
    </font>
    <font>
      <b/>
      <sz val="11"/>
      <name val="돋움"/>
      <family val="3"/>
    </font>
    <font>
      <sz val="11"/>
      <name val="굴림"/>
      <family val="3"/>
    </font>
    <font>
      <sz val="12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u val="single"/>
      <sz val="24"/>
      <name val="굴림"/>
      <family val="3"/>
    </font>
    <font>
      <b/>
      <sz val="14"/>
      <name val="굴림"/>
      <family val="3"/>
    </font>
    <font>
      <sz val="10"/>
      <name val="굴림"/>
      <family val="3"/>
    </font>
    <font>
      <b/>
      <sz val="13"/>
      <name val="굴림"/>
      <family val="3"/>
    </font>
    <font>
      <sz val="14"/>
      <name val="굴림"/>
      <family val="3"/>
    </font>
    <font>
      <sz val="18"/>
      <name val="굴림"/>
      <family val="3"/>
    </font>
    <font>
      <b/>
      <u val="single"/>
      <sz val="22"/>
      <name val="굴림"/>
      <family val="3"/>
    </font>
    <font>
      <u val="single"/>
      <sz val="22"/>
      <name val="굴림"/>
      <family val="3"/>
    </font>
    <font>
      <sz val="9"/>
      <name val="굴림"/>
      <family val="3"/>
    </font>
    <font>
      <u val="single"/>
      <sz val="36"/>
      <name val="굴림"/>
      <family val="3"/>
    </font>
    <font>
      <b/>
      <sz val="12"/>
      <name val="돋움"/>
      <family val="3"/>
    </font>
    <font>
      <sz val="8"/>
      <name val="Calibri"/>
      <family val="2"/>
      <scheme val="minor"/>
    </font>
    <font>
      <sz val="12"/>
      <name val="돋움"/>
      <family val="3"/>
    </font>
    <font>
      <sz val="14"/>
      <name val="돋움"/>
      <family val="3"/>
    </font>
    <font>
      <b/>
      <sz val="14"/>
      <name val="돋움"/>
      <family val="3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double"/>
      <right style="thin"/>
      <top/>
      <bottom style="thin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 style="thin"/>
      <bottom/>
    </border>
    <border>
      <left style="double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/>
      <top style="double"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/>
      <top/>
      <bottom/>
    </border>
    <border>
      <left style="thin"/>
      <right style="double"/>
      <top style="thin"/>
      <bottom/>
    </border>
    <border>
      <left style="thin"/>
      <right style="medium"/>
      <top style="thin"/>
      <bottom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/>
      <bottom style="thin"/>
    </border>
    <border>
      <left style="thin"/>
      <right style="medium"/>
      <top/>
      <bottom style="thin"/>
    </border>
    <border>
      <left style="double"/>
      <right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/>
    </border>
    <border>
      <left style="thin"/>
      <right/>
      <top style="thin"/>
      <bottom style="medium"/>
    </border>
    <border>
      <left style="thin"/>
      <right style="double"/>
      <top style="medium"/>
      <bottom style="thin"/>
    </border>
    <border diagonalUp="1">
      <left style="medium"/>
      <right style="thin"/>
      <top style="thin"/>
      <bottom/>
      <diagonal style="thin"/>
    </border>
    <border diagonalUp="1">
      <left style="medium"/>
      <right style="thin"/>
      <top/>
      <bottom/>
      <diagonal style="thin"/>
    </border>
    <border diagonalUp="1">
      <left style="medium"/>
      <right style="thin"/>
      <top/>
      <bottom style="medium"/>
      <diagonal style="thin"/>
    </border>
    <border>
      <left style="medium"/>
      <right/>
      <top style="medium"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thin"/>
      <right style="medium"/>
      <top style="medium"/>
      <bottom/>
    </border>
    <border diagonalUp="1">
      <left style="medium"/>
      <right style="thin"/>
      <top style="medium"/>
      <bottom/>
      <diagonal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0" fillId="0" borderId="0">
      <alignment vertical="center"/>
      <protection/>
    </xf>
    <xf numFmtId="41" fontId="2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91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center" vertical="distributed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41" fontId="4" fillId="0" borderId="4" xfId="21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180" fontId="4" fillId="0" borderId="0" xfId="21" applyNumberFormat="1" applyFont="1" applyBorder="1" applyAlignment="1">
      <alignment vertical="center" shrinkToFit="1"/>
    </xf>
    <xf numFmtId="43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41" fontId="7" fillId="0" borderId="5" xfId="21" applyFont="1" applyBorder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1" fontId="7" fillId="0" borderId="8" xfId="2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1" fontId="7" fillId="0" borderId="12" xfId="21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41" fontId="7" fillId="0" borderId="14" xfId="21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41" fontId="7" fillId="0" borderId="15" xfId="21" applyFont="1" applyBorder="1" applyAlignment="1">
      <alignment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/>
    </xf>
    <xf numFmtId="176" fontId="7" fillId="0" borderId="5" xfId="21" applyNumberFormat="1" applyFont="1" applyBorder="1" applyAlignment="1">
      <alignment horizontal="center" vertical="center"/>
    </xf>
    <xf numFmtId="41" fontId="7" fillId="0" borderId="0" xfId="21" applyFont="1" applyBorder="1" applyAlignment="1">
      <alignment vertical="center"/>
    </xf>
    <xf numFmtId="42" fontId="7" fillId="0" borderId="2" xfId="22" applyFont="1" applyBorder="1" applyAlignment="1">
      <alignment horizontal="center" vertical="center"/>
    </xf>
    <xf numFmtId="41" fontId="7" fillId="0" borderId="0" xfId="21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41" fontId="7" fillId="0" borderId="16" xfId="2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1" fontId="7" fillId="0" borderId="13" xfId="21" applyFont="1" applyBorder="1" applyAlignment="1">
      <alignment vertical="center"/>
    </xf>
    <xf numFmtId="0" fontId="7" fillId="0" borderId="9" xfId="0" applyFont="1" applyBorder="1" applyAlignment="1">
      <alignment horizontal="left" vertical="center" shrinkToFit="1"/>
    </xf>
    <xf numFmtId="41" fontId="7" fillId="0" borderId="5" xfId="2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80" fontId="7" fillId="0" borderId="0" xfId="0" applyNumberFormat="1" applyFont="1" applyBorder="1" applyAlignment="1">
      <alignment vertical="center" shrinkToFit="1"/>
    </xf>
    <xf numFmtId="41" fontId="7" fillId="0" borderId="7" xfId="21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41" fontId="7" fillId="0" borderId="17" xfId="21" applyFont="1" applyBorder="1" applyAlignment="1">
      <alignment vertical="center"/>
    </xf>
    <xf numFmtId="41" fontId="7" fillId="0" borderId="3" xfId="21" applyFont="1" applyBorder="1" applyAlignment="1">
      <alignment vertical="center" shrinkToFit="1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5" xfId="21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1" fontId="7" fillId="0" borderId="2" xfId="21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41" fontId="7" fillId="0" borderId="2" xfId="21" applyFont="1" applyBorder="1" applyAlignment="1">
      <alignment vertical="center"/>
    </xf>
    <xf numFmtId="176" fontId="7" fillId="0" borderId="0" xfId="21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41" fontId="9" fillId="0" borderId="23" xfId="2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41" fontId="7" fillId="0" borderId="25" xfId="2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9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9" fontId="7" fillId="0" borderId="12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76" fontId="7" fillId="0" borderId="12" xfId="21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41" fontId="7" fillId="0" borderId="4" xfId="21" applyFont="1" applyBorder="1" applyAlignment="1">
      <alignment vertical="center" shrinkToFit="1"/>
    </xf>
    <xf numFmtId="180" fontId="7" fillId="0" borderId="5" xfId="0" applyNumberFormat="1" applyFont="1" applyBorder="1" applyAlignment="1">
      <alignment vertical="center" shrinkToFit="1"/>
    </xf>
    <xf numFmtId="41" fontId="7" fillId="0" borderId="28" xfId="21" applyFont="1" applyBorder="1" applyAlignment="1">
      <alignment vertical="center" shrinkToFit="1"/>
    </xf>
    <xf numFmtId="41" fontId="7" fillId="0" borderId="29" xfId="21" applyFont="1" applyBorder="1" applyAlignment="1">
      <alignment vertical="center" shrinkToFit="1"/>
    </xf>
    <xf numFmtId="41" fontId="7" fillId="0" borderId="30" xfId="21" applyFont="1" applyBorder="1" applyAlignment="1">
      <alignment vertical="center" shrinkToFit="1"/>
    </xf>
    <xf numFmtId="41" fontId="7" fillId="0" borderId="30" xfId="2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1" fontId="7" fillId="0" borderId="30" xfId="21" applyFont="1" applyFill="1" applyBorder="1" applyAlignment="1">
      <alignment vertical="center" shrinkToFit="1"/>
    </xf>
    <xf numFmtId="41" fontId="7" fillId="0" borderId="28" xfId="21" applyFont="1" applyFill="1" applyBorder="1" applyAlignment="1">
      <alignment vertical="center" shrinkToFit="1"/>
    </xf>
    <xf numFmtId="41" fontId="7" fillId="0" borderId="4" xfId="21" applyFont="1" applyFill="1" applyBorder="1" applyAlignment="1">
      <alignment vertical="center" shrinkToFit="1"/>
    </xf>
    <xf numFmtId="0" fontId="12" fillId="0" borderId="2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41" fontId="7" fillId="0" borderId="5" xfId="21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76" fontId="7" fillId="0" borderId="2" xfId="21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9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1" fontId="7" fillId="0" borderId="10" xfId="21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41" fontId="7" fillId="0" borderId="31" xfId="21" applyFont="1" applyBorder="1" applyAlignment="1">
      <alignment vertical="center"/>
    </xf>
    <xf numFmtId="41" fontId="7" fillId="0" borderId="1" xfId="2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41" fontId="7" fillId="0" borderId="32" xfId="21" applyFont="1" applyBorder="1" applyAlignment="1">
      <alignment vertical="center" shrinkToFit="1"/>
    </xf>
    <xf numFmtId="0" fontId="0" fillId="0" borderId="6" xfId="0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9" fillId="0" borderId="3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41" fontId="7" fillId="0" borderId="34" xfId="2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41" fontId="7" fillId="0" borderId="35" xfId="21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177" fontId="7" fillId="0" borderId="25" xfId="0" applyNumberFormat="1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41" fontId="7" fillId="0" borderId="12" xfId="2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176" fontId="7" fillId="0" borderId="2" xfId="21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41" fontId="7" fillId="0" borderId="12" xfId="21" applyFont="1" applyBorder="1" applyAlignment="1">
      <alignment vertical="center" shrinkToFit="1"/>
    </xf>
    <xf numFmtId="177" fontId="7" fillId="0" borderId="2" xfId="0" applyNumberFormat="1" applyFont="1" applyBorder="1" applyAlignment="1">
      <alignment horizontal="center" vertical="center" shrinkToFit="1"/>
    </xf>
    <xf numFmtId="176" fontId="7" fillId="0" borderId="12" xfId="21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7" fillId="0" borderId="19" xfId="0" applyNumberFormat="1" applyFont="1" applyBorder="1" applyAlignment="1">
      <alignment horizontal="center" vertical="center" shrinkToFit="1"/>
    </xf>
    <xf numFmtId="3" fontId="7" fillId="0" borderId="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2" xfId="0" applyFont="1" applyBorder="1" applyAlignment="1">
      <alignment vertical="center"/>
    </xf>
    <xf numFmtId="0" fontId="7" fillId="0" borderId="19" xfId="0" applyFont="1" applyBorder="1" applyAlignment="1">
      <alignment vertical="center" shrinkToFit="1"/>
    </xf>
    <xf numFmtId="3" fontId="7" fillId="0" borderId="0" xfId="0" applyNumberFormat="1" applyFont="1" applyBorder="1" applyAlignment="1">
      <alignment horizontal="right" vertical="center"/>
    </xf>
    <xf numFmtId="41" fontId="9" fillId="0" borderId="23" xfId="21" applyFont="1" applyFill="1" applyBorder="1" applyAlignment="1">
      <alignment vertical="center"/>
    </xf>
    <xf numFmtId="41" fontId="7" fillId="0" borderId="0" xfId="21" applyFont="1" applyBorder="1" applyAlignment="1">
      <alignment horizontal="right" vertical="center"/>
    </xf>
    <xf numFmtId="0" fontId="7" fillId="0" borderId="9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27" xfId="0" applyFont="1" applyBorder="1" applyAlignment="1">
      <alignment horizontal="left" vertical="center" shrinkToFit="1"/>
    </xf>
    <xf numFmtId="177" fontId="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1" fontId="7" fillId="0" borderId="1" xfId="21" applyFont="1" applyBorder="1" applyAlignment="1">
      <alignment vertical="center" shrinkToFit="1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41" fontId="0" fillId="0" borderId="0" xfId="21" applyFont="1" applyAlignment="1">
      <alignment vertical="center"/>
    </xf>
    <xf numFmtId="41" fontId="0" fillId="0" borderId="0" xfId="21" applyFont="1" applyAlignment="1">
      <alignment horizontal="center" vertical="distributed" wrapText="1"/>
    </xf>
    <xf numFmtId="0" fontId="7" fillId="0" borderId="1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41" fontId="7" fillId="0" borderId="4" xfId="21" applyFont="1" applyBorder="1" applyAlignment="1">
      <alignment horizontal="left" vertical="center"/>
    </xf>
    <xf numFmtId="41" fontId="7" fillId="0" borderId="28" xfId="21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1" fontId="0" fillId="0" borderId="0" xfId="21" applyFon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3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41" fontId="7" fillId="0" borderId="22" xfId="21" applyFont="1" applyBorder="1" applyAlignment="1">
      <alignment vertical="center"/>
    </xf>
    <xf numFmtId="41" fontId="7" fillId="0" borderId="25" xfId="2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176" fontId="7" fillId="0" borderId="25" xfId="21" applyNumberFormat="1" applyFont="1" applyBorder="1" applyAlignment="1">
      <alignment horizontal="center" vertical="center" shrinkToFit="1"/>
    </xf>
    <xf numFmtId="177" fontId="7" fillId="0" borderId="25" xfId="0" applyNumberFormat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41" fontId="7" fillId="0" borderId="36" xfId="21" applyFont="1" applyBorder="1" applyAlignment="1">
      <alignment vertical="center" shrinkToFit="1"/>
    </xf>
    <xf numFmtId="0" fontId="7" fillId="2" borderId="39" xfId="0" applyFont="1" applyFill="1" applyBorder="1" applyAlignment="1">
      <alignment vertical="center"/>
    </xf>
    <xf numFmtId="41" fontId="7" fillId="2" borderId="40" xfId="21" applyFont="1" applyFill="1" applyBorder="1" applyAlignment="1">
      <alignment vertical="center"/>
    </xf>
    <xf numFmtId="0" fontId="7" fillId="2" borderId="40" xfId="0" applyFont="1" applyFill="1" applyBorder="1" applyAlignment="1">
      <alignment horizontal="center" vertical="center"/>
    </xf>
    <xf numFmtId="176" fontId="7" fillId="2" borderId="40" xfId="0" applyNumberFormat="1" applyFont="1" applyFill="1" applyBorder="1" applyAlignment="1">
      <alignment horizontal="center" vertical="center"/>
    </xf>
    <xf numFmtId="177" fontId="7" fillId="2" borderId="40" xfId="0" applyNumberFormat="1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vertical="center"/>
    </xf>
    <xf numFmtId="41" fontId="7" fillId="2" borderId="41" xfId="21" applyFont="1" applyFill="1" applyBorder="1" applyAlignment="1">
      <alignment vertical="center"/>
    </xf>
    <xf numFmtId="41" fontId="14" fillId="2" borderId="42" xfId="2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41" fontId="8" fillId="0" borderId="10" xfId="0" applyNumberFormat="1" applyFont="1" applyBorder="1" applyAlignment="1">
      <alignment horizontal="left" vertical="center" shrinkToFit="1"/>
    </xf>
    <xf numFmtId="41" fontId="10" fillId="0" borderId="10" xfId="0" applyNumberFormat="1" applyFont="1" applyBorder="1" applyAlignment="1">
      <alignment horizontal="left" vertical="center" shrinkToFit="1"/>
    </xf>
    <xf numFmtId="41" fontId="7" fillId="0" borderId="10" xfId="0" applyNumberFormat="1" applyFont="1" applyBorder="1" applyAlignment="1">
      <alignment horizontal="left" vertical="center" shrinkToFit="1"/>
    </xf>
    <xf numFmtId="41" fontId="7" fillId="0" borderId="43" xfId="0" applyNumberFormat="1" applyFont="1" applyBorder="1" applyAlignment="1">
      <alignment horizontal="left" vertical="center" shrinkToFit="1"/>
    </xf>
    <xf numFmtId="41" fontId="9" fillId="0" borderId="10" xfId="0" applyNumberFormat="1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left" vertical="center" shrinkToFit="1"/>
    </xf>
    <xf numFmtId="0" fontId="8" fillId="0" borderId="47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48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left" vertical="center" shrinkToFit="1"/>
    </xf>
    <xf numFmtId="176" fontId="7" fillId="0" borderId="0" xfId="21" applyNumberFormat="1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1" fontId="9" fillId="0" borderId="25" xfId="2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41" fontId="9" fillId="0" borderId="22" xfId="2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1" fontId="7" fillId="0" borderId="0" xfId="2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horizontal="center" vertical="center" shrinkToFit="1"/>
    </xf>
    <xf numFmtId="41" fontId="9" fillId="0" borderId="7" xfId="21" applyFont="1" applyBorder="1" applyAlignment="1">
      <alignment vertical="center"/>
    </xf>
    <xf numFmtId="41" fontId="9" fillId="0" borderId="22" xfId="2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41" fontId="9" fillId="0" borderId="22" xfId="0" applyNumberFormat="1" applyFont="1" applyBorder="1" applyAlignment="1">
      <alignment horizontal="center" vertical="center"/>
    </xf>
    <xf numFmtId="41" fontId="7" fillId="0" borderId="38" xfId="21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1" fontId="0" fillId="0" borderId="0" xfId="0" applyNumberFormat="1" applyAlignment="1">
      <alignment vertical="center"/>
    </xf>
    <xf numFmtId="0" fontId="7" fillId="0" borderId="26" xfId="0" applyFont="1" applyBorder="1" applyAlignment="1">
      <alignment horizontal="center" vertical="center"/>
    </xf>
    <xf numFmtId="41" fontId="7" fillId="0" borderId="1" xfId="2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41" fontId="7" fillId="0" borderId="1" xfId="2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 shrinkToFit="1"/>
    </xf>
    <xf numFmtId="0" fontId="9" fillId="0" borderId="7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37" xfId="0" applyFont="1" applyBorder="1" applyAlignment="1">
      <alignment horizontal="left" vertical="center" wrapText="1" shrinkToFit="1"/>
    </xf>
    <xf numFmtId="0" fontId="7" fillId="0" borderId="31" xfId="0" applyFont="1" applyBorder="1" applyAlignment="1">
      <alignment horizontal="left" vertical="center" wrapText="1" shrinkToFit="1"/>
    </xf>
    <xf numFmtId="41" fontId="7" fillId="0" borderId="12" xfId="21" applyFont="1" applyBorder="1" applyAlignment="1">
      <alignment horizontal="right" vertical="center"/>
    </xf>
    <xf numFmtId="9" fontId="0" fillId="0" borderId="0" xfId="20" applyFont="1" applyAlignment="1">
      <alignment vertical="center"/>
    </xf>
    <xf numFmtId="9" fontId="7" fillId="0" borderId="5" xfId="20" applyFont="1" applyBorder="1" applyAlignment="1">
      <alignment vertical="center"/>
    </xf>
    <xf numFmtId="9" fontId="5" fillId="0" borderId="0" xfId="20" applyFont="1" applyBorder="1" applyAlignment="1">
      <alignment horizontal="center" vertical="center"/>
    </xf>
    <xf numFmtId="9" fontId="7" fillId="0" borderId="19" xfId="20" applyFont="1" applyBorder="1" applyAlignment="1">
      <alignment vertical="center"/>
    </xf>
    <xf numFmtId="9" fontId="7" fillId="0" borderId="26" xfId="20" applyFont="1" applyBorder="1" applyAlignment="1">
      <alignment vertical="center"/>
    </xf>
    <xf numFmtId="9" fontId="7" fillId="0" borderId="13" xfId="20" applyFont="1" applyBorder="1" applyAlignment="1">
      <alignment vertical="center"/>
    </xf>
    <xf numFmtId="9" fontId="7" fillId="0" borderId="7" xfId="20" applyFont="1" applyBorder="1" applyAlignment="1">
      <alignment vertical="center"/>
    </xf>
    <xf numFmtId="9" fontId="7" fillId="0" borderId="9" xfId="20" applyFont="1" applyBorder="1" applyAlignment="1">
      <alignment vertical="center"/>
    </xf>
    <xf numFmtId="9" fontId="7" fillId="0" borderId="1" xfId="20" applyFont="1" applyBorder="1" applyAlignment="1">
      <alignment vertical="center"/>
    </xf>
    <xf numFmtId="9" fontId="4" fillId="0" borderId="0" xfId="20" applyFont="1" applyAlignment="1">
      <alignment vertical="center"/>
    </xf>
    <xf numFmtId="41" fontId="7" fillId="0" borderId="18" xfId="20" applyNumberFormat="1" applyFont="1" applyBorder="1" applyAlignment="1">
      <alignment vertical="center"/>
    </xf>
    <xf numFmtId="41" fontId="10" fillId="2" borderId="52" xfId="0" applyNumberFormat="1" applyFont="1" applyFill="1" applyBorder="1" applyAlignment="1">
      <alignment horizontal="center" vertical="center" shrinkToFit="1"/>
    </xf>
    <xf numFmtId="41" fontId="7" fillId="0" borderId="16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9" fontId="0" fillId="0" borderId="0" xfId="20" applyFont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7" fillId="0" borderId="35" xfId="0" applyFont="1" applyBorder="1" applyAlignment="1">
      <alignment horizontal="left" vertical="center"/>
    </xf>
    <xf numFmtId="3" fontId="7" fillId="0" borderId="35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horizontal="center" vertical="center"/>
    </xf>
    <xf numFmtId="9" fontId="7" fillId="0" borderId="35" xfId="0" applyNumberFormat="1" applyFont="1" applyBorder="1" applyAlignment="1">
      <alignment horizontal="center" vertical="center"/>
    </xf>
    <xf numFmtId="176" fontId="7" fillId="0" borderId="5" xfId="21" applyNumberFormat="1" applyFont="1" applyBorder="1" applyAlignment="1">
      <alignment vertical="center" shrinkToFit="1"/>
    </xf>
    <xf numFmtId="177" fontId="7" fillId="0" borderId="0" xfId="0" applyNumberFormat="1" applyFont="1" applyBorder="1" applyAlignment="1">
      <alignment vertical="center" shrinkToFit="1"/>
    </xf>
    <xf numFmtId="42" fontId="0" fillId="0" borderId="0" xfId="0" applyNumberFormat="1" applyFont="1" applyBorder="1" applyAlignment="1">
      <alignment vertical="center"/>
    </xf>
    <xf numFmtId="42" fontId="0" fillId="0" borderId="0" xfId="0" applyNumberFormat="1" applyBorder="1" applyAlignment="1">
      <alignment vertical="center"/>
    </xf>
    <xf numFmtId="0" fontId="9" fillId="0" borderId="24" xfId="0" applyFont="1" applyBorder="1" applyAlignment="1">
      <alignment horizontal="left" vertical="center" wrapText="1"/>
    </xf>
    <xf numFmtId="176" fontId="7" fillId="0" borderId="25" xfId="21" applyNumberFormat="1" applyFont="1" applyBorder="1" applyAlignment="1">
      <alignment horizontal="center" vertical="center"/>
    </xf>
    <xf numFmtId="41" fontId="7" fillId="0" borderId="29" xfId="21" applyFont="1" applyFill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41" fontId="7" fillId="0" borderId="1" xfId="21" applyFont="1" applyBorder="1" applyAlignment="1">
      <alignment horizontal="right" vertical="center" shrinkToFit="1"/>
    </xf>
    <xf numFmtId="0" fontId="7" fillId="0" borderId="26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41" fontId="10" fillId="0" borderId="22" xfId="0" applyNumberFormat="1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41" fontId="10" fillId="0" borderId="38" xfId="0" applyNumberFormat="1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41" fontId="8" fillId="0" borderId="43" xfId="0" applyNumberFormat="1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41" fontId="8" fillId="0" borderId="22" xfId="0" applyNumberFormat="1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1" fontId="9" fillId="0" borderId="8" xfId="21" applyFont="1" applyBorder="1" applyAlignment="1">
      <alignment vertical="center"/>
    </xf>
    <xf numFmtId="41" fontId="7" fillId="0" borderId="28" xfId="21" applyFont="1" applyFill="1" applyBorder="1" applyAlignment="1">
      <alignment vertical="center"/>
    </xf>
    <xf numFmtId="41" fontId="14" fillId="2" borderId="52" xfId="21" applyFont="1" applyFill="1" applyBorder="1" applyAlignment="1">
      <alignment vertical="center"/>
    </xf>
    <xf numFmtId="0" fontId="15" fillId="2" borderId="40" xfId="0" applyFont="1" applyFill="1" applyBorder="1" applyAlignment="1">
      <alignment vertical="center"/>
    </xf>
    <xf numFmtId="41" fontId="15" fillId="2" borderId="40" xfId="21" applyFont="1" applyFill="1" applyBorder="1" applyAlignment="1">
      <alignment vertical="center"/>
    </xf>
    <xf numFmtId="0" fontId="15" fillId="2" borderId="40" xfId="0" applyFont="1" applyFill="1" applyBorder="1" applyAlignment="1">
      <alignment horizontal="center" vertical="center"/>
    </xf>
    <xf numFmtId="176" fontId="15" fillId="2" borderId="40" xfId="0" applyNumberFormat="1" applyFont="1" applyFill="1" applyBorder="1" applyAlignment="1">
      <alignment horizontal="center" vertical="center"/>
    </xf>
    <xf numFmtId="177" fontId="15" fillId="2" borderId="40" xfId="0" applyNumberFormat="1" applyFont="1" applyFill="1" applyBorder="1" applyAlignment="1">
      <alignment horizontal="center" vertical="center"/>
    </xf>
    <xf numFmtId="41" fontId="15" fillId="2" borderId="41" xfId="2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7" fontId="7" fillId="0" borderId="3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19" fillId="0" borderId="19" xfId="0" applyFont="1" applyBorder="1" applyAlignment="1">
      <alignment horizontal="center" vertical="center" wrapText="1" shrinkToFit="1"/>
    </xf>
    <xf numFmtId="10" fontId="8" fillId="0" borderId="0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7" fillId="0" borderId="53" xfId="0" applyFont="1" applyBorder="1" applyAlignment="1">
      <alignment horizontal="left" vertical="center" shrinkToFit="1"/>
    </xf>
    <xf numFmtId="0" fontId="0" fillId="0" borderId="0" xfId="23" applyAlignment="1">
      <alignment vertical="center"/>
      <protection/>
    </xf>
    <xf numFmtId="0" fontId="8" fillId="3" borderId="38" xfId="23" applyFont="1" applyFill="1" applyBorder="1" applyAlignment="1">
      <alignment horizontal="center" vertical="center"/>
      <protection/>
    </xf>
    <xf numFmtId="0" fontId="8" fillId="3" borderId="13" xfId="23" applyFont="1" applyFill="1" applyBorder="1" applyAlignment="1">
      <alignment horizontal="center" vertical="center"/>
      <protection/>
    </xf>
    <xf numFmtId="9" fontId="8" fillId="3" borderId="13" xfId="23" applyNumberFormat="1" applyFont="1" applyFill="1" applyBorder="1" applyAlignment="1">
      <alignment horizontal="center" vertical="center"/>
      <protection/>
    </xf>
    <xf numFmtId="182" fontId="8" fillId="0" borderId="10" xfId="23" applyNumberFormat="1" applyFont="1" applyBorder="1" applyAlignment="1">
      <alignment horizontal="center" vertical="center" shrinkToFit="1"/>
      <protection/>
    </xf>
    <xf numFmtId="10" fontId="8" fillId="0" borderId="10" xfId="23" applyNumberFormat="1" applyFont="1" applyBorder="1" applyAlignment="1">
      <alignment horizontal="center" vertical="center" shrinkToFit="1"/>
      <protection/>
    </xf>
    <xf numFmtId="179" fontId="8" fillId="0" borderId="10" xfId="23" applyNumberFormat="1" applyFont="1" applyBorder="1" applyAlignment="1">
      <alignment horizontal="center" vertical="center" shrinkToFit="1"/>
      <protection/>
    </xf>
    <xf numFmtId="179" fontId="8" fillId="3" borderId="10" xfId="23" applyNumberFormat="1" applyFont="1" applyFill="1" applyBorder="1" applyAlignment="1">
      <alignment horizontal="center" vertical="center" shrinkToFit="1"/>
      <protection/>
    </xf>
    <xf numFmtId="10" fontId="8" fillId="3" borderId="10" xfId="23" applyNumberFormat="1" applyFont="1" applyFill="1" applyBorder="1" applyAlignment="1">
      <alignment horizontal="center" vertical="center" shrinkToFit="1"/>
      <protection/>
    </xf>
    <xf numFmtId="0" fontId="8" fillId="3" borderId="7" xfId="23" applyFont="1" applyFill="1" applyBorder="1" applyAlignment="1">
      <alignment horizontal="center" vertical="center"/>
      <protection/>
    </xf>
    <xf numFmtId="0" fontId="10" fillId="4" borderId="10" xfId="23" applyFont="1" applyFill="1" applyBorder="1" applyAlignment="1">
      <alignment horizontal="center" vertical="center"/>
      <protection/>
    </xf>
    <xf numFmtId="0" fontId="8" fillId="3" borderId="10" xfId="23" applyFont="1" applyFill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8" fillId="5" borderId="11" xfId="23" applyFont="1" applyFill="1" applyBorder="1" applyAlignment="1">
      <alignment vertical="center"/>
      <protection/>
    </xf>
    <xf numFmtId="0" fontId="8" fillId="5" borderId="10" xfId="23" applyFont="1" applyFill="1" applyBorder="1" applyAlignment="1">
      <alignment horizontal="center" vertical="center"/>
      <protection/>
    </xf>
    <xf numFmtId="41" fontId="7" fillId="3" borderId="10" xfId="24" applyFont="1" applyFill="1" applyBorder="1" applyAlignment="1">
      <alignment horizontal="center" vertical="center"/>
    </xf>
    <xf numFmtId="41" fontId="7" fillId="0" borderId="10" xfId="25" applyFont="1" applyBorder="1" applyAlignment="1">
      <alignment horizontal="center" vertical="center"/>
    </xf>
    <xf numFmtId="41" fontId="8" fillId="5" borderId="10" xfId="25" applyFont="1" applyFill="1" applyBorder="1" applyAlignment="1">
      <alignment horizontal="center" vertical="center"/>
    </xf>
    <xf numFmtId="41" fontId="10" fillId="5" borderId="10" xfId="25" applyFont="1" applyFill="1" applyBorder="1" applyAlignment="1">
      <alignment horizontal="right" vertical="center" wrapText="1"/>
    </xf>
    <xf numFmtId="41" fontId="8" fillId="0" borderId="10" xfId="25" applyFont="1" applyBorder="1" applyAlignment="1">
      <alignment horizontal="right" vertical="center" wrapText="1"/>
    </xf>
    <xf numFmtId="41" fontId="10" fillId="4" borderId="10" xfId="25" applyNumberFormat="1" applyFont="1" applyFill="1" applyBorder="1" applyAlignment="1">
      <alignment horizontal="right" vertical="center" wrapText="1"/>
    </xf>
    <xf numFmtId="41" fontId="10" fillId="6" borderId="10" xfId="25" applyFont="1" applyFill="1" applyBorder="1" applyAlignment="1">
      <alignment horizontal="right" vertical="center" wrapText="1"/>
    </xf>
    <xf numFmtId="41" fontId="8" fillId="3" borderId="10" xfId="25" applyFont="1" applyFill="1" applyBorder="1" applyAlignment="1">
      <alignment horizontal="right" vertical="center" wrapText="1"/>
    </xf>
    <xf numFmtId="41" fontId="23" fillId="3" borderId="10" xfId="25" applyFont="1" applyFill="1" applyBorder="1" applyAlignment="1">
      <alignment vertical="center"/>
    </xf>
    <xf numFmtId="181" fontId="8" fillId="3" borderId="10" xfId="25" applyNumberFormat="1" applyFont="1" applyFill="1" applyBorder="1" applyAlignment="1">
      <alignment horizontal="right" vertical="center" wrapText="1"/>
    </xf>
    <xf numFmtId="181" fontId="8" fillId="5" borderId="10" xfId="25" applyNumberFormat="1" applyFont="1" applyFill="1" applyBorder="1" applyAlignment="1">
      <alignment horizontal="right" vertical="center" wrapText="1"/>
    </xf>
    <xf numFmtId="41" fontId="10" fillId="4" borderId="10" xfId="25" applyFont="1" applyFill="1" applyBorder="1" applyAlignment="1">
      <alignment horizontal="right" vertical="center" wrapText="1"/>
    </xf>
    <xf numFmtId="41" fontId="10" fillId="7" borderId="10" xfId="25" applyFont="1" applyFill="1" applyBorder="1" applyAlignment="1">
      <alignment horizontal="right" vertical="center" wrapText="1"/>
    </xf>
    <xf numFmtId="41" fontId="8" fillId="0" borderId="10" xfId="25" applyFont="1" applyFill="1" applyBorder="1" applyAlignment="1">
      <alignment horizontal="right" vertical="center" wrapText="1"/>
    </xf>
    <xf numFmtId="41" fontId="8" fillId="5" borderId="10" xfId="25" applyFont="1" applyFill="1" applyBorder="1" applyAlignment="1">
      <alignment horizontal="right" vertical="center" wrapText="1"/>
    </xf>
    <xf numFmtId="0" fontId="0" fillId="0" borderId="0" xfId="23" applyBorder="1" applyAlignment="1">
      <alignment vertical="center"/>
      <protection/>
    </xf>
    <xf numFmtId="0" fontId="0" fillId="0" borderId="54" xfId="23" applyBorder="1" applyAlignment="1">
      <alignment vertical="center"/>
      <protection/>
    </xf>
    <xf numFmtId="0" fontId="0" fillId="0" borderId="55" xfId="23" applyBorder="1" applyAlignment="1">
      <alignment vertical="center"/>
      <protection/>
    </xf>
    <xf numFmtId="0" fontId="8" fillId="3" borderId="10" xfId="23" applyFont="1" applyFill="1" applyBorder="1" applyAlignment="1">
      <alignment horizontal="center" vertical="center" shrinkToFit="1"/>
      <protection/>
    </xf>
    <xf numFmtId="41" fontId="10" fillId="5" borderId="10" xfId="23" applyNumberFormat="1" applyFont="1" applyFill="1" applyBorder="1" applyAlignment="1">
      <alignment vertical="center" shrinkToFit="1"/>
      <protection/>
    </xf>
    <xf numFmtId="41" fontId="10" fillId="5" borderId="10" xfId="25" applyFont="1" applyFill="1" applyBorder="1" applyAlignment="1">
      <alignment horizontal="right" vertical="center" wrapText="1" shrinkToFit="1"/>
    </xf>
    <xf numFmtId="41" fontId="10" fillId="4" borderId="10" xfId="25" applyFont="1" applyFill="1" applyBorder="1" applyAlignment="1">
      <alignment horizontal="right" vertical="center" wrapText="1" shrinkToFit="1"/>
    </xf>
    <xf numFmtId="41" fontId="10" fillId="6" borderId="10" xfId="25" applyFont="1" applyFill="1" applyBorder="1" applyAlignment="1">
      <alignment horizontal="right" vertical="center" wrapText="1" shrinkToFit="1"/>
    </xf>
    <xf numFmtId="41" fontId="10" fillId="7" borderId="10" xfId="25" applyFont="1" applyFill="1" applyBorder="1" applyAlignment="1">
      <alignment horizontal="right" vertical="center" wrapText="1" shrinkToFit="1"/>
    </xf>
    <xf numFmtId="0" fontId="8" fillId="0" borderId="44" xfId="23" applyFont="1" applyBorder="1" applyAlignment="1">
      <alignment horizontal="center" vertical="center"/>
      <protection/>
    </xf>
    <xf numFmtId="0" fontId="8" fillId="0" borderId="7" xfId="23" applyFont="1" applyFill="1" applyBorder="1" applyAlignment="1">
      <alignment horizontal="center" vertical="center"/>
      <protection/>
    </xf>
    <xf numFmtId="41" fontId="8" fillId="0" borderId="7" xfId="25" applyFont="1" applyBorder="1" applyAlignment="1">
      <alignment horizontal="center" vertical="center"/>
    </xf>
    <xf numFmtId="0" fontId="4" fillId="0" borderId="0" xfId="23" applyFont="1" applyBorder="1" applyAlignment="1">
      <alignment horizontal="center" vertical="center" shrinkToFit="1"/>
      <protection/>
    </xf>
    <xf numFmtId="49" fontId="4" fillId="0" borderId="0" xfId="23" applyNumberFormat="1" applyFont="1" applyBorder="1" applyAlignment="1">
      <alignment vertical="center" shrinkToFit="1"/>
      <protection/>
    </xf>
    <xf numFmtId="0" fontId="4" fillId="0" borderId="0" xfId="23" applyFont="1" applyBorder="1" applyAlignment="1">
      <alignment vertical="center" shrinkToFit="1"/>
      <protection/>
    </xf>
    <xf numFmtId="41" fontId="4" fillId="0" borderId="0" xfId="25" applyFont="1" applyBorder="1" applyAlignment="1">
      <alignment vertical="center" shrinkToFit="1"/>
    </xf>
    <xf numFmtId="0" fontId="8" fillId="5" borderId="56" xfId="23" applyFont="1" applyFill="1" applyBorder="1" applyAlignment="1">
      <alignment horizontal="center" vertical="center"/>
      <protection/>
    </xf>
    <xf numFmtId="41" fontId="8" fillId="0" borderId="10" xfId="25" applyFont="1" applyBorder="1" applyAlignment="1">
      <alignment horizontal="center" vertical="center"/>
    </xf>
    <xf numFmtId="0" fontId="8" fillId="5" borderId="16" xfId="23" applyFont="1" applyFill="1" applyBorder="1" applyAlignment="1">
      <alignment horizontal="center" vertical="center"/>
      <protection/>
    </xf>
    <xf numFmtId="41" fontId="7" fillId="0" borderId="0" xfId="23" applyNumberFormat="1" applyFont="1" applyBorder="1" applyAlignment="1">
      <alignment vertical="center"/>
      <protection/>
    </xf>
    <xf numFmtId="0" fontId="7" fillId="0" borderId="0" xfId="23" applyFont="1" applyBorder="1" applyAlignment="1">
      <alignment vertical="center"/>
      <protection/>
    </xf>
    <xf numFmtId="0" fontId="8" fillId="5" borderId="11" xfId="23" applyFont="1" applyFill="1" applyBorder="1" applyAlignment="1">
      <alignment horizontal="center" vertical="center"/>
      <protection/>
    </xf>
    <xf numFmtId="0" fontId="8" fillId="8" borderId="15" xfId="23" applyFont="1" applyFill="1" applyBorder="1" applyAlignment="1">
      <alignment horizontal="center" vertical="center"/>
      <protection/>
    </xf>
    <xf numFmtId="0" fontId="8" fillId="5" borderId="15" xfId="23" applyFont="1" applyFill="1" applyBorder="1" applyAlignment="1">
      <alignment horizontal="center" vertical="center"/>
      <protection/>
    </xf>
    <xf numFmtId="0" fontId="8" fillId="5" borderId="7" xfId="23" applyFont="1" applyFill="1" applyBorder="1" applyAlignment="1">
      <alignment horizontal="center" vertical="center"/>
      <protection/>
    </xf>
    <xf numFmtId="41" fontId="10" fillId="0" borderId="57" xfId="23" applyNumberFormat="1" applyFont="1" applyBorder="1" applyAlignment="1">
      <alignment vertical="center"/>
      <protection/>
    </xf>
    <xf numFmtId="0" fontId="8" fillId="0" borderId="58" xfId="23" applyFont="1" applyBorder="1" applyAlignment="1">
      <alignment horizontal="center" vertical="center"/>
      <protection/>
    </xf>
    <xf numFmtId="0" fontId="8" fillId="0" borderId="43" xfId="23" applyFont="1" applyBorder="1" applyAlignment="1">
      <alignment horizontal="center" vertical="center"/>
      <protection/>
    </xf>
    <xf numFmtId="0" fontId="8" fillId="0" borderId="43" xfId="23" applyFont="1" applyBorder="1" applyAlignment="1">
      <alignment vertical="center"/>
      <protection/>
    </xf>
    <xf numFmtId="41" fontId="8" fillId="0" borderId="43" xfId="23" applyNumberFormat="1" applyFont="1" applyBorder="1" applyAlignment="1">
      <alignment horizontal="center" vertical="center"/>
      <protection/>
    </xf>
    <xf numFmtId="41" fontId="8" fillId="0" borderId="43" xfId="23" applyNumberFormat="1" applyFont="1" applyBorder="1" applyAlignment="1">
      <alignment vertical="center"/>
      <protection/>
    </xf>
    <xf numFmtId="41" fontId="6" fillId="0" borderId="43" xfId="23" applyNumberFormat="1" applyFont="1" applyBorder="1" applyAlignment="1">
      <alignment horizontal="center" vertical="center"/>
      <protection/>
    </xf>
    <xf numFmtId="41" fontId="6" fillId="0" borderId="59" xfId="23" applyNumberFormat="1" applyFont="1" applyBorder="1" applyAlignment="1">
      <alignment horizontal="center" vertical="center"/>
      <protection/>
    </xf>
    <xf numFmtId="0" fontId="8" fillId="0" borderId="0" xfId="23" applyFont="1" applyBorder="1" applyAlignment="1">
      <alignment horizontal="center" vertical="center"/>
      <protection/>
    </xf>
    <xf numFmtId="0" fontId="8" fillId="0" borderId="0" xfId="23" applyFont="1" applyBorder="1" applyAlignment="1">
      <alignment vertical="center"/>
      <protection/>
    </xf>
    <xf numFmtId="41" fontId="8" fillId="0" borderId="0" xfId="23" applyNumberFormat="1" applyFont="1" applyBorder="1" applyAlignment="1">
      <alignment horizontal="center" vertical="center"/>
      <protection/>
    </xf>
    <xf numFmtId="41" fontId="8" fillId="0" borderId="0" xfId="23" applyNumberFormat="1" applyFont="1" applyBorder="1" applyAlignment="1">
      <alignment vertical="center"/>
      <protection/>
    </xf>
    <xf numFmtId="41" fontId="21" fillId="0" borderId="0" xfId="23" applyNumberFormat="1" applyFont="1" applyBorder="1" applyAlignment="1">
      <alignment horizontal="center" vertical="center"/>
      <protection/>
    </xf>
    <xf numFmtId="0" fontId="23" fillId="0" borderId="0" xfId="23" applyFont="1" applyAlignment="1">
      <alignment vertical="center"/>
      <protection/>
    </xf>
    <xf numFmtId="0" fontId="0" fillId="0" borderId="10" xfId="23" applyBorder="1" applyAlignment="1">
      <alignment vertical="center"/>
      <protection/>
    </xf>
    <xf numFmtId="0" fontId="23" fillId="0" borderId="10" xfId="23" applyFont="1" applyBorder="1" applyAlignment="1">
      <alignment vertical="center"/>
      <protection/>
    </xf>
    <xf numFmtId="41" fontId="23" fillId="0" borderId="10" xfId="25" applyFont="1" applyBorder="1" applyAlignment="1">
      <alignment vertical="center"/>
    </xf>
    <xf numFmtId="0" fontId="0" fillId="0" borderId="16" xfId="23" applyBorder="1" applyAlignment="1">
      <alignment vertical="center"/>
      <protection/>
    </xf>
    <xf numFmtId="41" fontId="23" fillId="0" borderId="16" xfId="25" applyFont="1" applyBorder="1" applyAlignment="1">
      <alignment vertical="center"/>
    </xf>
    <xf numFmtId="0" fontId="0" fillId="0" borderId="60" xfId="23" applyBorder="1" applyAlignment="1">
      <alignment vertical="center"/>
      <protection/>
    </xf>
    <xf numFmtId="0" fontId="0" fillId="0" borderId="22" xfId="23" applyBorder="1" applyAlignment="1">
      <alignment vertical="center"/>
      <protection/>
    </xf>
    <xf numFmtId="41" fontId="23" fillId="0" borderId="22" xfId="25" applyFont="1" applyBorder="1" applyAlignment="1">
      <alignment vertical="center"/>
    </xf>
    <xf numFmtId="41" fontId="21" fillId="0" borderId="22" xfId="25" applyFont="1" applyBorder="1" applyAlignment="1">
      <alignment vertical="center"/>
    </xf>
    <xf numFmtId="41" fontId="23" fillId="0" borderId="61" xfId="25" applyFont="1" applyBorder="1" applyAlignment="1">
      <alignment vertical="center"/>
    </xf>
    <xf numFmtId="0" fontId="0" fillId="0" borderId="56" xfId="23" applyBorder="1" applyAlignment="1">
      <alignment vertical="center"/>
      <protection/>
    </xf>
    <xf numFmtId="41" fontId="21" fillId="0" borderId="10" xfId="25" applyFont="1" applyBorder="1" applyAlignment="1">
      <alignment vertical="center"/>
    </xf>
    <xf numFmtId="41" fontId="23" fillId="0" borderId="62" xfId="25" applyFont="1" applyBorder="1" applyAlignment="1">
      <alignment vertical="center"/>
    </xf>
    <xf numFmtId="0" fontId="0" fillId="0" borderId="37" xfId="23" applyBorder="1" applyAlignment="1">
      <alignment vertical="center"/>
      <protection/>
    </xf>
    <xf numFmtId="0" fontId="0" fillId="0" borderId="1" xfId="23" applyBorder="1" applyAlignment="1">
      <alignment vertical="center"/>
      <protection/>
    </xf>
    <xf numFmtId="41" fontId="23" fillId="0" borderId="1" xfId="23" applyNumberFormat="1" applyFont="1" applyBorder="1" applyAlignment="1">
      <alignment vertical="center"/>
      <protection/>
    </xf>
    <xf numFmtId="41" fontId="21" fillId="0" borderId="1" xfId="23" applyNumberFormat="1" applyFont="1" applyBorder="1" applyAlignment="1">
      <alignment vertical="center"/>
      <protection/>
    </xf>
    <xf numFmtId="41" fontId="23" fillId="0" borderId="32" xfId="23" applyNumberFormat="1" applyFont="1" applyBorder="1" applyAlignment="1">
      <alignment vertical="center"/>
      <protection/>
    </xf>
    <xf numFmtId="41" fontId="23" fillId="0" borderId="0" xfId="23" applyNumberFormat="1" applyFont="1" applyAlignment="1">
      <alignment vertical="center"/>
      <protection/>
    </xf>
    <xf numFmtId="0" fontId="8" fillId="8" borderId="10" xfId="23" applyFont="1" applyFill="1" applyBorder="1" applyAlignment="1">
      <alignment horizontal="center" vertical="center"/>
      <protection/>
    </xf>
    <xf numFmtId="41" fontId="0" fillId="0" borderId="0" xfId="23" applyNumberFormat="1" applyAlignment="1">
      <alignment vertical="center"/>
      <protection/>
    </xf>
    <xf numFmtId="0" fontId="24" fillId="0" borderId="0" xfId="23" applyFont="1" applyAlignment="1">
      <alignment vertical="center"/>
      <protection/>
    </xf>
    <xf numFmtId="0" fontId="25" fillId="0" borderId="0" xfId="23" applyFont="1" applyAlignment="1">
      <alignment vertical="center"/>
      <protection/>
    </xf>
    <xf numFmtId="41" fontId="25" fillId="0" borderId="0" xfId="23" applyNumberFormat="1" applyFont="1" applyAlignment="1">
      <alignment vertical="center"/>
      <protection/>
    </xf>
    <xf numFmtId="0" fontId="8" fillId="9" borderId="10" xfId="23" applyFont="1" applyFill="1" applyBorder="1" applyAlignment="1">
      <alignment horizontal="center" vertical="center"/>
      <protection/>
    </xf>
    <xf numFmtId="41" fontId="7" fillId="3" borderId="10" xfId="25" applyFont="1" applyFill="1" applyBorder="1" applyAlignment="1">
      <alignment horizontal="center" vertical="center"/>
    </xf>
    <xf numFmtId="0" fontId="7" fillId="3" borderId="10" xfId="23" applyFont="1" applyFill="1" applyBorder="1" applyAlignment="1">
      <alignment horizontal="center" vertical="center"/>
      <protection/>
    </xf>
    <xf numFmtId="41" fontId="8" fillId="0" borderId="11" xfId="25" applyFont="1" applyBorder="1" applyAlignment="1">
      <alignment horizontal="center" vertical="center"/>
    </xf>
    <xf numFmtId="41" fontId="8" fillId="0" borderId="15" xfId="25" applyFont="1" applyBorder="1" applyAlignment="1">
      <alignment horizontal="center" vertical="center"/>
    </xf>
    <xf numFmtId="41" fontId="6" fillId="0" borderId="11" xfId="23" applyNumberFormat="1" applyFont="1" applyBorder="1" applyAlignment="1">
      <alignment horizontal="center" vertical="center"/>
      <protection/>
    </xf>
    <xf numFmtId="41" fontId="6" fillId="0" borderId="30" xfId="23" applyNumberFormat="1" applyFont="1" applyBorder="1" applyAlignment="1">
      <alignment horizontal="center" vertical="center"/>
      <protection/>
    </xf>
    <xf numFmtId="41" fontId="6" fillId="0" borderId="10" xfId="23" applyNumberFormat="1" applyFont="1" applyBorder="1" applyAlignment="1">
      <alignment horizontal="center" vertical="center"/>
      <protection/>
    </xf>
    <xf numFmtId="41" fontId="6" fillId="0" borderId="62" xfId="23" applyNumberFormat="1" applyFont="1" applyBorder="1" applyAlignment="1">
      <alignment horizontal="center" vertical="center"/>
      <protection/>
    </xf>
    <xf numFmtId="0" fontId="8" fillId="0" borderId="10" xfId="23" applyFont="1" applyBorder="1" applyAlignment="1">
      <alignment horizontal="center" vertical="center" shrinkToFit="1"/>
      <protection/>
    </xf>
    <xf numFmtId="0" fontId="15" fillId="3" borderId="38" xfId="23" applyFont="1" applyFill="1" applyBorder="1" applyAlignment="1">
      <alignment horizontal="center" vertical="center"/>
      <protection/>
    </xf>
    <xf numFmtId="0" fontId="15" fillId="3" borderId="13" xfId="23" applyFont="1" applyFill="1" applyBorder="1" applyAlignment="1">
      <alignment horizontal="center" vertical="center"/>
      <protection/>
    </xf>
    <xf numFmtId="0" fontId="15" fillId="3" borderId="7" xfId="23" applyFont="1" applyFill="1" applyBorder="1" applyAlignment="1">
      <alignment horizontal="center" vertical="center"/>
      <protection/>
    </xf>
    <xf numFmtId="0" fontId="8" fillId="0" borderId="10" xfId="23" applyFont="1" applyBorder="1" applyAlignment="1">
      <alignment horizontal="center" vertical="center"/>
      <protection/>
    </xf>
    <xf numFmtId="0" fontId="8" fillId="0" borderId="7" xfId="23" applyFont="1" applyBorder="1" applyAlignment="1">
      <alignment horizontal="center" vertical="center"/>
      <protection/>
    </xf>
    <xf numFmtId="41" fontId="4" fillId="0" borderId="0" xfId="21" applyFont="1" applyBorder="1" applyAlignment="1">
      <alignment vertical="center" shrinkToFit="1"/>
    </xf>
    <xf numFmtId="42" fontId="0" fillId="0" borderId="5" xfId="0" applyNumberForma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7" fillId="0" borderId="2" xfId="2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9" fontId="4" fillId="0" borderId="13" xfId="2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9" fontId="4" fillId="0" borderId="38" xfId="2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9" fontId="4" fillId="0" borderId="31" xfId="2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7" fontId="7" fillId="0" borderId="5" xfId="0" applyNumberFormat="1" applyFont="1" applyBorder="1" applyAlignment="1">
      <alignment vertical="center" shrinkToFit="1"/>
    </xf>
    <xf numFmtId="41" fontId="0" fillId="0" borderId="3" xfId="0" applyNumberFormat="1" applyBorder="1" applyAlignment="1">
      <alignment vertical="center"/>
    </xf>
    <xf numFmtId="41" fontId="7" fillId="0" borderId="3" xfId="0" applyNumberFormat="1" applyFont="1" applyBorder="1" applyAlignment="1">
      <alignment vertical="center" shrinkToFit="1"/>
    </xf>
    <xf numFmtId="41" fontId="7" fillId="0" borderId="3" xfId="0" applyNumberFormat="1" applyFont="1" applyBorder="1" applyAlignment="1">
      <alignment vertical="center"/>
    </xf>
    <xf numFmtId="176" fontId="7" fillId="0" borderId="12" xfId="21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9" fillId="0" borderId="38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41" fontId="7" fillId="0" borderId="3" xfId="21" applyFont="1" applyBorder="1" applyAlignment="1">
      <alignment vertical="center"/>
    </xf>
    <xf numFmtId="0" fontId="7" fillId="0" borderId="53" xfId="0" applyFont="1" applyBorder="1" applyAlignment="1">
      <alignment horizontal="left" vertical="center"/>
    </xf>
    <xf numFmtId="41" fontId="7" fillId="0" borderId="25" xfId="21" applyFont="1" applyBorder="1" applyAlignment="1">
      <alignment vertical="center" shrinkToFit="1"/>
    </xf>
    <xf numFmtId="41" fontId="7" fillId="0" borderId="0" xfId="21" applyFont="1" applyBorder="1" applyAlignment="1">
      <alignment vertical="center"/>
    </xf>
    <xf numFmtId="41" fontId="7" fillId="0" borderId="4" xfId="21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176" fontId="7" fillId="0" borderId="35" xfId="21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41" fontId="7" fillId="0" borderId="32" xfId="21" applyFont="1" applyBorder="1" applyAlignment="1">
      <alignment horizontal="left" vertical="center"/>
    </xf>
    <xf numFmtId="176" fontId="7" fillId="0" borderId="1" xfId="21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80" fontId="7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1" fontId="7" fillId="0" borderId="32" xfId="21" applyFont="1" applyFill="1" applyBorder="1" applyAlignment="1">
      <alignment vertical="center" shrinkToFit="1"/>
    </xf>
    <xf numFmtId="0" fontId="4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6" fontId="7" fillId="0" borderId="0" xfId="21" applyNumberFormat="1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shrinkToFit="1"/>
    </xf>
    <xf numFmtId="9" fontId="7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shrinkToFit="1"/>
    </xf>
    <xf numFmtId="3" fontId="7" fillId="0" borderId="2" xfId="0" applyNumberFormat="1" applyFont="1" applyBorder="1" applyAlignment="1">
      <alignment horizontal="left" vertical="center" shrinkToFit="1"/>
    </xf>
    <xf numFmtId="176" fontId="7" fillId="0" borderId="5" xfId="21" applyNumberFormat="1" applyFont="1" applyBorder="1" applyAlignment="1">
      <alignment horizontal="center" vertical="center" shrinkToFit="1"/>
    </xf>
    <xf numFmtId="41" fontId="7" fillId="0" borderId="0" xfId="21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41" fontId="7" fillId="0" borderId="2" xfId="21" applyFont="1" applyBorder="1" applyAlignment="1">
      <alignment horizontal="center" vertical="center"/>
    </xf>
    <xf numFmtId="41" fontId="7" fillId="0" borderId="0" xfId="21" applyFont="1" applyBorder="1" applyAlignment="1">
      <alignment horizontal="left" vertical="center"/>
    </xf>
    <xf numFmtId="41" fontId="7" fillId="0" borderId="5" xfId="21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177" fontId="7" fillId="0" borderId="5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176" fontId="7" fillId="0" borderId="1" xfId="21" applyNumberFormat="1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41" fontId="7" fillId="0" borderId="19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41" fontId="7" fillId="0" borderId="4" xfId="21" applyFont="1" applyBorder="1" applyAlignment="1">
      <alignment horizontal="center" vertical="center" shrinkToFit="1"/>
    </xf>
    <xf numFmtId="41" fontId="7" fillId="0" borderId="0" xfId="2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41" fontId="8" fillId="0" borderId="7" xfId="0" applyNumberFormat="1" applyFont="1" applyBorder="1" applyAlignment="1">
      <alignment horizontal="left" vertical="center" shrinkToFit="1"/>
    </xf>
    <xf numFmtId="41" fontId="0" fillId="0" borderId="0" xfId="0" applyNumberFormat="1" applyAlignment="1">
      <alignment vertical="center" shrinkToFit="1"/>
    </xf>
    <xf numFmtId="41" fontId="6" fillId="0" borderId="10" xfId="0" applyNumberFormat="1" applyFont="1" applyBorder="1" applyAlignment="1">
      <alignment vertical="center" shrinkToFit="1"/>
    </xf>
    <xf numFmtId="0" fontId="7" fillId="0" borderId="8" xfId="0" applyFont="1" applyBorder="1" applyAlignment="1">
      <alignment horizontal="left" vertical="center" shrinkToFit="1"/>
    </xf>
    <xf numFmtId="0" fontId="0" fillId="0" borderId="13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41" fontId="9" fillId="0" borderId="16" xfId="0" applyNumberFormat="1" applyFont="1" applyBorder="1" applyAlignment="1">
      <alignment horizontal="left" vertical="center" shrinkToFit="1"/>
    </xf>
    <xf numFmtId="0" fontId="0" fillId="0" borderId="47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7" fillId="0" borderId="43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8" fillId="0" borderId="31" xfId="0" applyFont="1" applyBorder="1" applyAlignment="1">
      <alignment horizontal="left" vertical="center" shrinkToFit="1"/>
    </xf>
    <xf numFmtId="41" fontId="0" fillId="0" borderId="1" xfId="0" applyNumberFormat="1" applyBorder="1" applyAlignment="1">
      <alignment vertical="center" shrinkToFit="1"/>
    </xf>
    <xf numFmtId="0" fontId="7" fillId="0" borderId="25" xfId="0" applyFont="1" applyBorder="1" applyAlignment="1">
      <alignment horizontal="left" vertical="center" shrinkToFit="1"/>
    </xf>
    <xf numFmtId="41" fontId="7" fillId="0" borderId="25" xfId="2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wrapText="1"/>
    </xf>
    <xf numFmtId="41" fontId="7" fillId="0" borderId="23" xfId="21" applyFont="1" applyBorder="1" applyAlignment="1">
      <alignment vertical="center"/>
    </xf>
    <xf numFmtId="0" fontId="9" fillId="0" borderId="31" xfId="0" applyFont="1" applyBorder="1" applyAlignment="1">
      <alignment horizontal="left" vertical="center"/>
    </xf>
    <xf numFmtId="3" fontId="7" fillId="0" borderId="24" xfId="0" applyNumberFormat="1" applyFont="1" applyBorder="1" applyAlignment="1">
      <alignment vertical="center"/>
    </xf>
    <xf numFmtId="9" fontId="7" fillId="0" borderId="31" xfId="20" applyFon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41" fontId="10" fillId="10" borderId="52" xfId="0" applyNumberFormat="1" applyFont="1" applyFill="1" applyBorder="1" applyAlignment="1">
      <alignment horizontal="center" vertical="center" shrinkToFit="1"/>
    </xf>
    <xf numFmtId="41" fontId="10" fillId="10" borderId="66" xfId="0" applyNumberFormat="1" applyFont="1" applyFill="1" applyBorder="1" applyAlignment="1">
      <alignment horizontal="center" vertical="center" shrinkToFit="1"/>
    </xf>
    <xf numFmtId="41" fontId="10" fillId="10" borderId="39" xfId="0" applyNumberFormat="1" applyFont="1" applyFill="1" applyBorder="1" applyAlignment="1">
      <alignment horizontal="center" vertical="center" shrinkToFit="1"/>
    </xf>
    <xf numFmtId="41" fontId="10" fillId="10" borderId="67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shrinkToFit="1"/>
    </xf>
    <xf numFmtId="41" fontId="10" fillId="0" borderId="7" xfId="0" applyNumberFormat="1" applyFont="1" applyBorder="1" applyAlignment="1">
      <alignment horizontal="left" vertical="center" shrinkToFit="1"/>
    </xf>
    <xf numFmtId="41" fontId="10" fillId="0" borderId="68" xfId="0" applyNumberFormat="1" applyFont="1" applyBorder="1" applyAlignment="1">
      <alignment horizontal="left" vertical="center" shrinkToFit="1"/>
    </xf>
    <xf numFmtId="41" fontId="10" fillId="0" borderId="13" xfId="0" applyNumberFormat="1" applyFont="1" applyBorder="1" applyAlignment="1">
      <alignment horizontal="left" vertical="center" shrinkToFit="1"/>
    </xf>
    <xf numFmtId="41" fontId="10" fillId="0" borderId="9" xfId="0" applyNumberFormat="1" applyFont="1" applyBorder="1" applyAlignment="1">
      <alignment horizontal="left" vertical="center" shrinkToFit="1"/>
    </xf>
    <xf numFmtId="41" fontId="10" fillId="0" borderId="69" xfId="0" applyNumberFormat="1" applyFont="1" applyBorder="1" applyAlignment="1">
      <alignment horizontal="left" vertical="center" shrinkToFit="1"/>
    </xf>
    <xf numFmtId="41" fontId="8" fillId="0" borderId="68" xfId="0" applyNumberFormat="1" applyFont="1" applyBorder="1" applyAlignment="1">
      <alignment horizontal="left" vertical="center" shrinkToFit="1"/>
    </xf>
    <xf numFmtId="41" fontId="8" fillId="0" borderId="11" xfId="0" applyNumberFormat="1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41" fontId="10" fillId="0" borderId="68" xfId="0" applyNumberFormat="1" applyFont="1" applyBorder="1" applyAlignment="1">
      <alignment horizontal="right" vertical="center" shrinkToFit="1"/>
    </xf>
    <xf numFmtId="41" fontId="10" fillId="0" borderId="11" xfId="0" applyNumberFormat="1" applyFont="1" applyBorder="1" applyAlignment="1">
      <alignment horizontal="left" vertical="center" shrinkToFit="1"/>
    </xf>
    <xf numFmtId="0" fontId="8" fillId="0" borderId="70" xfId="0" applyFont="1" applyBorder="1" applyAlignment="1">
      <alignment horizontal="left" vertical="center" shrinkToFit="1"/>
    </xf>
    <xf numFmtId="41" fontId="10" fillId="0" borderId="62" xfId="0" applyNumberFormat="1" applyFont="1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41" fontId="8" fillId="0" borderId="9" xfId="0" applyNumberFormat="1" applyFont="1" applyBorder="1" applyAlignment="1">
      <alignment horizontal="left" vertical="center" shrinkToFit="1"/>
    </xf>
    <xf numFmtId="0" fontId="0" fillId="0" borderId="72" xfId="0" applyBorder="1" applyAlignment="1">
      <alignment vertical="center" shrinkToFit="1"/>
    </xf>
    <xf numFmtId="0" fontId="8" fillId="0" borderId="73" xfId="0" applyFont="1" applyBorder="1" applyAlignment="1">
      <alignment horizontal="left" vertical="center" shrinkToFit="1"/>
    </xf>
    <xf numFmtId="41" fontId="10" fillId="0" borderId="74" xfId="0" applyNumberFormat="1" applyFont="1" applyBorder="1" applyAlignment="1">
      <alignment horizontal="left" vertical="center" shrinkToFit="1"/>
    </xf>
    <xf numFmtId="0" fontId="0" fillId="0" borderId="38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41" fontId="8" fillId="0" borderId="24" xfId="0" applyNumberFormat="1" applyFont="1" applyBorder="1" applyAlignment="1">
      <alignment horizontal="left" vertical="center" shrinkToFit="1"/>
    </xf>
    <xf numFmtId="41" fontId="10" fillId="0" borderId="61" xfId="0" applyNumberFormat="1" applyFont="1" applyBorder="1" applyAlignment="1">
      <alignment horizontal="left" vertical="center" shrinkToFit="1"/>
    </xf>
    <xf numFmtId="41" fontId="8" fillId="0" borderId="76" xfId="0" applyNumberFormat="1" applyFont="1" applyBorder="1" applyAlignment="1">
      <alignment horizontal="left" vertical="center" shrinkToFit="1"/>
    </xf>
    <xf numFmtId="41" fontId="9" fillId="0" borderId="7" xfId="0" applyNumberFormat="1" applyFont="1" applyBorder="1" applyAlignment="1">
      <alignment horizontal="left" vertical="center" shrinkToFit="1"/>
    </xf>
    <xf numFmtId="0" fontId="10" fillId="0" borderId="0" xfId="0" applyFont="1" applyBorder="1" applyAlignment="1">
      <alignment horizontal="right" vertical="center" shrinkToFit="1"/>
    </xf>
    <xf numFmtId="41" fontId="7" fillId="0" borderId="2" xfId="20" applyNumberFormat="1" applyFont="1" applyBorder="1" applyAlignment="1">
      <alignment vertical="center"/>
    </xf>
    <xf numFmtId="41" fontId="12" fillId="0" borderId="52" xfId="21" applyFont="1" applyBorder="1" applyAlignment="1">
      <alignment horizontal="center" vertical="center" shrinkToFit="1"/>
    </xf>
    <xf numFmtId="41" fontId="10" fillId="0" borderId="52" xfId="21" applyFont="1" applyBorder="1" applyAlignment="1">
      <alignment horizontal="center" vertical="center" wrapText="1" shrinkToFit="1"/>
    </xf>
    <xf numFmtId="41" fontId="7" fillId="0" borderId="18" xfId="21" applyFont="1" applyBorder="1" applyAlignment="1">
      <alignment vertical="center"/>
    </xf>
    <xf numFmtId="41" fontId="7" fillId="0" borderId="19" xfId="21" applyFont="1" applyBorder="1" applyAlignment="1">
      <alignment vertical="center"/>
    </xf>
    <xf numFmtId="41" fontId="7" fillId="0" borderId="9" xfId="21" applyFont="1" applyBorder="1" applyAlignment="1">
      <alignment vertical="center"/>
    </xf>
    <xf numFmtId="41" fontId="7" fillId="0" borderId="16" xfId="20" applyNumberFormat="1" applyFont="1" applyBorder="1" applyAlignment="1">
      <alignment vertical="center"/>
    </xf>
    <xf numFmtId="41" fontId="7" fillId="0" borderId="10" xfId="20" applyNumberFormat="1" applyFont="1" applyBorder="1" applyAlignment="1">
      <alignment vertical="center"/>
    </xf>
    <xf numFmtId="41" fontId="9" fillId="0" borderId="22" xfId="20" applyNumberFormat="1" applyFont="1" applyBorder="1" applyAlignment="1">
      <alignment vertical="center"/>
    </xf>
    <xf numFmtId="41" fontId="7" fillId="0" borderId="25" xfId="20" applyNumberFormat="1" applyFont="1" applyBorder="1" applyAlignment="1">
      <alignment vertical="center"/>
    </xf>
    <xf numFmtId="41" fontId="7" fillId="0" borderId="12" xfId="20" applyNumberFormat="1" applyFont="1" applyBorder="1" applyAlignment="1">
      <alignment vertical="center"/>
    </xf>
    <xf numFmtId="41" fontId="9" fillId="0" borderId="25" xfId="20" applyNumberFormat="1" applyFont="1" applyBorder="1" applyAlignment="1">
      <alignment vertical="center"/>
    </xf>
    <xf numFmtId="41" fontId="7" fillId="0" borderId="0" xfId="20" applyNumberFormat="1" applyFont="1" applyBorder="1" applyAlignment="1">
      <alignment vertical="center"/>
    </xf>
    <xf numFmtId="41" fontId="9" fillId="0" borderId="25" xfId="20" applyNumberFormat="1" applyFont="1" applyFill="1" applyBorder="1" applyAlignment="1">
      <alignment vertical="center"/>
    </xf>
    <xf numFmtId="41" fontId="7" fillId="0" borderId="24" xfId="20" applyNumberFormat="1" applyFont="1" applyBorder="1" applyAlignment="1">
      <alignment vertical="center"/>
    </xf>
    <xf numFmtId="41" fontId="7" fillId="0" borderId="5" xfId="20" applyNumberFormat="1" applyFont="1" applyBorder="1" applyAlignment="1">
      <alignment vertical="center"/>
    </xf>
    <xf numFmtId="41" fontId="9" fillId="0" borderId="5" xfId="20" applyNumberFormat="1" applyFont="1" applyBorder="1" applyAlignment="1">
      <alignment vertical="center"/>
    </xf>
    <xf numFmtId="41" fontId="7" fillId="0" borderId="15" xfId="0" applyNumberFormat="1" applyFont="1" applyBorder="1" applyAlignment="1">
      <alignment horizontal="left" vertical="center"/>
    </xf>
    <xf numFmtId="41" fontId="9" fillId="0" borderId="8" xfId="0" applyNumberFormat="1" applyFont="1" applyBorder="1" applyAlignment="1">
      <alignment horizontal="left" vertical="center"/>
    </xf>
    <xf numFmtId="9" fontId="12" fillId="0" borderId="42" xfId="20" applyFont="1" applyBorder="1" applyAlignment="1">
      <alignment horizontal="center" vertical="center" shrinkToFit="1"/>
    </xf>
    <xf numFmtId="41" fontId="7" fillId="0" borderId="17" xfId="0" applyNumberFormat="1" applyFont="1" applyBorder="1" applyAlignment="1">
      <alignment horizontal="left" vertical="center"/>
    </xf>
    <xf numFmtId="41" fontId="9" fillId="0" borderId="23" xfId="0" applyNumberFormat="1" applyFont="1" applyBorder="1" applyAlignment="1">
      <alignment horizontal="left" vertical="center"/>
    </xf>
    <xf numFmtId="41" fontId="7" fillId="0" borderId="14" xfId="0" applyNumberFormat="1" applyFont="1" applyBorder="1" applyAlignment="1">
      <alignment horizontal="left" vertical="center"/>
    </xf>
    <xf numFmtId="41" fontId="7" fillId="0" borderId="23" xfId="0" applyNumberFormat="1" applyFont="1" applyBorder="1" applyAlignment="1">
      <alignment horizontal="left" vertical="center"/>
    </xf>
    <xf numFmtId="41" fontId="7" fillId="0" borderId="33" xfId="0" applyNumberFormat="1" applyFont="1" applyBorder="1" applyAlignment="1">
      <alignment horizontal="left" vertical="center" wrapText="1"/>
    </xf>
    <xf numFmtId="41" fontId="7" fillId="0" borderId="14" xfId="0" applyNumberFormat="1" applyFont="1" applyBorder="1" applyAlignment="1">
      <alignment horizontal="left" vertical="center" wrapText="1"/>
    </xf>
    <xf numFmtId="41" fontId="7" fillId="0" borderId="15" xfId="0" applyNumberFormat="1" applyFont="1" applyBorder="1" applyAlignment="1">
      <alignment horizontal="left" vertical="center" wrapText="1"/>
    </xf>
    <xf numFmtId="41" fontId="7" fillId="0" borderId="8" xfId="0" applyNumberFormat="1" applyFont="1" applyBorder="1" applyAlignment="1">
      <alignment horizontal="left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41" fontId="7" fillId="2" borderId="0" xfId="21" applyFont="1" applyFill="1" applyBorder="1" applyAlignment="1">
      <alignment vertical="center"/>
    </xf>
    <xf numFmtId="41" fontId="12" fillId="2" borderId="42" xfId="0" applyNumberFormat="1" applyFont="1" applyFill="1" applyBorder="1" applyAlignment="1">
      <alignment horizontal="center" vertical="center" shrinkToFit="1"/>
    </xf>
    <xf numFmtId="41" fontId="14" fillId="2" borderId="42" xfId="20" applyNumberFormat="1" applyFont="1" applyFill="1" applyBorder="1" applyAlignment="1">
      <alignment vertical="center" shrinkToFit="1"/>
    </xf>
    <xf numFmtId="41" fontId="8" fillId="0" borderId="0" xfId="0" applyNumberFormat="1" applyFont="1" applyBorder="1" applyAlignment="1">
      <alignment horizontal="left" vertical="center" shrinkToFit="1"/>
    </xf>
    <xf numFmtId="41" fontId="9" fillId="0" borderId="22" xfId="21" applyFont="1" applyBorder="1" applyAlignment="1">
      <alignment vertical="center" shrinkToFit="1"/>
    </xf>
    <xf numFmtId="41" fontId="7" fillId="0" borderId="10" xfId="21" applyFont="1" applyBorder="1" applyAlignment="1">
      <alignment vertical="center" shrinkToFit="1"/>
    </xf>
    <xf numFmtId="41" fontId="7" fillId="0" borderId="15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41" fontId="10" fillId="0" borderId="53" xfId="0" applyNumberFormat="1" applyFont="1" applyBorder="1" applyAlignment="1">
      <alignment horizontal="left" vertical="center" shrinkToFit="1"/>
    </xf>
    <xf numFmtId="41" fontId="6" fillId="0" borderId="0" xfId="0" applyNumberFormat="1" applyFont="1" applyBorder="1" applyAlignment="1">
      <alignment vertical="center" shrinkToFit="1"/>
    </xf>
    <xf numFmtId="41" fontId="7" fillId="0" borderId="11" xfId="0" applyNumberFormat="1" applyFont="1" applyBorder="1" applyAlignment="1">
      <alignment horizontal="left" vertical="center" shrinkToFit="1"/>
    </xf>
    <xf numFmtId="41" fontId="7" fillId="0" borderId="18" xfId="0" applyNumberFormat="1" applyFont="1" applyBorder="1" applyAlignment="1">
      <alignment horizontal="left" vertical="center" shrinkToFit="1"/>
    </xf>
    <xf numFmtId="41" fontId="9" fillId="0" borderId="18" xfId="0" applyNumberFormat="1" applyFont="1" applyBorder="1" applyAlignment="1">
      <alignment horizontal="left" vertical="center" shrinkToFit="1"/>
    </xf>
    <xf numFmtId="41" fontId="9" fillId="0" borderId="11" xfId="0" applyNumberFormat="1" applyFont="1" applyBorder="1" applyAlignment="1">
      <alignment horizontal="left" vertical="center" shrinkToFit="1"/>
    </xf>
    <xf numFmtId="41" fontId="10" fillId="11" borderId="52" xfId="0" applyNumberFormat="1" applyFont="1" applyFill="1" applyBorder="1" applyAlignment="1">
      <alignment horizontal="center" vertical="center" shrinkToFit="1"/>
    </xf>
    <xf numFmtId="41" fontId="10" fillId="11" borderId="66" xfId="0" applyNumberFormat="1" applyFont="1" applyFill="1" applyBorder="1" applyAlignment="1">
      <alignment horizontal="center" vertical="center" shrinkToFit="1"/>
    </xf>
    <xf numFmtId="41" fontId="10" fillId="11" borderId="42" xfId="21" applyFont="1" applyFill="1" applyBorder="1" applyAlignment="1">
      <alignment horizontal="center" vertical="center" shrinkToFit="1"/>
    </xf>
    <xf numFmtId="41" fontId="8" fillId="0" borderId="11" xfId="21" applyFont="1" applyBorder="1" applyAlignment="1">
      <alignment horizontal="left" vertical="center" shrinkToFit="1"/>
    </xf>
    <xf numFmtId="41" fontId="8" fillId="0" borderId="10" xfId="21" applyFont="1" applyBorder="1" applyAlignment="1">
      <alignment horizontal="left" vertical="center" shrinkToFit="1"/>
    </xf>
    <xf numFmtId="41" fontId="8" fillId="0" borderId="43" xfId="21" applyFont="1" applyBorder="1" applyAlignment="1">
      <alignment horizontal="left" vertical="center" shrinkToFit="1"/>
    </xf>
    <xf numFmtId="41" fontId="8" fillId="0" borderId="22" xfId="21" applyFont="1" applyBorder="1" applyAlignment="1">
      <alignment horizontal="left" vertical="center" shrinkToFit="1"/>
    </xf>
    <xf numFmtId="41" fontId="9" fillId="0" borderId="35" xfId="21" applyFont="1" applyBorder="1" applyAlignment="1">
      <alignment horizontal="left" vertical="center" shrinkToFit="1"/>
    </xf>
    <xf numFmtId="41" fontId="10" fillId="0" borderId="10" xfId="21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41" fontId="10" fillId="11" borderId="67" xfId="0" applyNumberFormat="1" applyFont="1" applyFill="1" applyBorder="1" applyAlignment="1">
      <alignment horizontal="center" vertical="center" shrinkToFit="1"/>
    </xf>
    <xf numFmtId="41" fontId="8" fillId="0" borderId="69" xfId="0" applyNumberFormat="1" applyFont="1" applyBorder="1" applyAlignment="1">
      <alignment horizontal="left" vertical="center" shrinkToFit="1"/>
    </xf>
    <xf numFmtId="41" fontId="8" fillId="0" borderId="31" xfId="0" applyNumberFormat="1" applyFont="1" applyBorder="1" applyAlignment="1">
      <alignment horizontal="left" vertical="center" shrinkToFit="1"/>
    </xf>
    <xf numFmtId="41" fontId="8" fillId="0" borderId="74" xfId="0" applyNumberFormat="1" applyFont="1" applyBorder="1" applyAlignment="1">
      <alignment horizontal="left" vertical="center" shrinkToFit="1"/>
    </xf>
    <xf numFmtId="41" fontId="8" fillId="0" borderId="61" xfId="0" applyNumberFormat="1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41" fontId="8" fillId="0" borderId="7" xfId="21" applyFont="1" applyBorder="1" applyAlignment="1">
      <alignment horizontal="left" vertical="center" shrinkToFit="1"/>
    </xf>
    <xf numFmtId="41" fontId="8" fillId="0" borderId="68" xfId="0" applyNumberFormat="1" applyFont="1" applyBorder="1" applyAlignment="1">
      <alignment horizontal="right" vertical="center" shrinkToFit="1"/>
    </xf>
    <xf numFmtId="41" fontId="8" fillId="0" borderId="69" xfId="0" applyNumberFormat="1" applyFont="1" applyBorder="1" applyAlignment="1">
      <alignment horizontal="right" vertical="center" shrinkToFit="1"/>
    </xf>
    <xf numFmtId="0" fontId="8" fillId="0" borderId="76" xfId="0" applyFont="1" applyBorder="1" applyAlignment="1">
      <alignment horizontal="left" vertical="center" shrinkToFit="1"/>
    </xf>
    <xf numFmtId="41" fontId="8" fillId="0" borderId="72" xfId="0" applyNumberFormat="1" applyFont="1" applyBorder="1" applyAlignment="1">
      <alignment horizontal="right" vertical="center" shrinkToFit="1"/>
    </xf>
    <xf numFmtId="0" fontId="8" fillId="0" borderId="60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41" fontId="10" fillId="0" borderId="77" xfId="0" applyNumberFormat="1" applyFont="1" applyBorder="1" applyAlignment="1">
      <alignment horizontal="right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41" fontId="12" fillId="0" borderId="38" xfId="21" applyFont="1" applyBorder="1" applyAlignment="1">
      <alignment horizontal="center" vertical="center" shrinkToFit="1"/>
    </xf>
    <xf numFmtId="41" fontId="12" fillId="0" borderId="31" xfId="21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0" fontId="10" fillId="11" borderId="81" xfId="0" applyFont="1" applyFill="1" applyBorder="1" applyAlignment="1">
      <alignment horizontal="center" vertical="center" shrinkToFit="1"/>
    </xf>
    <xf numFmtId="0" fontId="10" fillId="11" borderId="40" xfId="0" applyFont="1" applyFill="1" applyBorder="1" applyAlignment="1">
      <alignment horizontal="center" vertical="center" shrinkToFit="1"/>
    </xf>
    <xf numFmtId="0" fontId="10" fillId="11" borderId="42" xfId="0" applyFont="1" applyFill="1" applyBorder="1" applyAlignment="1">
      <alignment horizontal="center" vertical="center" shrinkToFit="1"/>
    </xf>
    <xf numFmtId="0" fontId="10" fillId="11" borderId="82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16" fillId="0" borderId="81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83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41" fontId="0" fillId="0" borderId="2" xfId="0" applyNumberForma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7" fillId="0" borderId="0" xfId="21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right" vertical="center"/>
    </xf>
    <xf numFmtId="41" fontId="7" fillId="0" borderId="2" xfId="0" applyNumberFormat="1" applyFont="1" applyBorder="1" applyAlignment="1">
      <alignment horizontal="center" vertical="center" shrinkToFit="1"/>
    </xf>
    <xf numFmtId="41" fontId="7" fillId="0" borderId="3" xfId="0" applyNumberFormat="1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shrinkToFit="1"/>
    </xf>
    <xf numFmtId="3" fontId="7" fillId="0" borderId="2" xfId="0" applyNumberFormat="1" applyFont="1" applyBorder="1" applyAlignment="1">
      <alignment horizontal="center" vertical="center" shrinkToFit="1"/>
    </xf>
    <xf numFmtId="9" fontId="7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76" fontId="7" fillId="0" borderId="5" xfId="21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41" fontId="7" fillId="0" borderId="0" xfId="21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1" fontId="7" fillId="0" borderId="0" xfId="21" applyFont="1" applyBorder="1" applyAlignment="1">
      <alignment horizontal="left" vertical="center"/>
    </xf>
    <xf numFmtId="41" fontId="7" fillId="0" borderId="5" xfId="21" applyFont="1" applyBorder="1" applyAlignment="1">
      <alignment horizontal="left" vertical="center"/>
    </xf>
    <xf numFmtId="41" fontId="7" fillId="0" borderId="2" xfId="2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1" fontId="7" fillId="0" borderId="2" xfId="21" applyFont="1" applyBorder="1" applyAlignment="1">
      <alignment horizontal="center" vertical="center"/>
    </xf>
    <xf numFmtId="41" fontId="7" fillId="0" borderId="3" xfId="21" applyFont="1" applyBorder="1" applyAlignment="1">
      <alignment horizontal="center" vertical="center"/>
    </xf>
    <xf numFmtId="41" fontId="7" fillId="0" borderId="0" xfId="21" applyFont="1" applyBorder="1" applyAlignment="1">
      <alignment horizontal="center" vertical="center" shrinkToFit="1"/>
    </xf>
    <xf numFmtId="41" fontId="7" fillId="0" borderId="0" xfId="2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left" vertical="center"/>
    </xf>
    <xf numFmtId="177" fontId="7" fillId="0" borderId="5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10" borderId="81" xfId="0" applyFont="1" applyFill="1" applyBorder="1" applyAlignment="1">
      <alignment horizontal="center" vertical="center" shrinkToFit="1"/>
    </xf>
    <xf numFmtId="0" fontId="10" fillId="10" borderId="40" xfId="0" applyFont="1" applyFill="1" applyBorder="1" applyAlignment="1">
      <alignment horizontal="center" vertical="center" shrinkToFit="1"/>
    </xf>
    <xf numFmtId="0" fontId="10" fillId="10" borderId="42" xfId="0" applyFont="1" applyFill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wrapText="1" shrinkToFit="1"/>
    </xf>
    <xf numFmtId="0" fontId="7" fillId="0" borderId="47" xfId="0" applyFont="1" applyBorder="1" applyAlignment="1">
      <alignment horizontal="center" vertical="center" wrapText="1" shrinkToFit="1"/>
    </xf>
    <xf numFmtId="0" fontId="0" fillId="0" borderId="78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41" fontId="0" fillId="0" borderId="0" xfId="21" applyFont="1" applyBorder="1" applyAlignment="1">
      <alignment horizontal="center" vertical="center"/>
    </xf>
    <xf numFmtId="41" fontId="0" fillId="0" borderId="4" xfId="21" applyFont="1" applyBorder="1" applyAlignment="1">
      <alignment horizontal="center" vertical="center"/>
    </xf>
    <xf numFmtId="41" fontId="0" fillId="0" borderId="5" xfId="21" applyFont="1" applyBorder="1" applyAlignment="1">
      <alignment horizontal="center" vertical="center"/>
    </xf>
    <xf numFmtId="41" fontId="0" fillId="0" borderId="28" xfId="2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left" vertical="center" shrinkToFit="1"/>
    </xf>
    <xf numFmtId="3" fontId="7" fillId="0" borderId="2" xfId="0" applyNumberFormat="1" applyFont="1" applyBorder="1" applyAlignment="1">
      <alignment horizontal="left" vertical="center" shrinkToFit="1"/>
    </xf>
    <xf numFmtId="176" fontId="7" fillId="0" borderId="0" xfId="21" applyNumberFormat="1" applyFont="1" applyFill="1" applyBorder="1" applyAlignment="1">
      <alignment horizontal="center" vertical="center" shrinkToFit="1"/>
    </xf>
    <xf numFmtId="0" fontId="7" fillId="0" borderId="53" xfId="0" applyFont="1" applyBorder="1" applyAlignment="1">
      <alignment horizontal="left" vertical="center"/>
    </xf>
    <xf numFmtId="41" fontId="7" fillId="0" borderId="35" xfId="21" applyFont="1" applyBorder="1" applyAlignment="1">
      <alignment horizontal="center" vertical="center" shrinkToFit="1"/>
    </xf>
    <xf numFmtId="41" fontId="7" fillId="0" borderId="3" xfId="21" applyFont="1" applyBorder="1" applyAlignment="1">
      <alignment horizontal="center" vertical="center" shrinkToFit="1"/>
    </xf>
    <xf numFmtId="176" fontId="7" fillId="0" borderId="1" xfId="2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/>
    </xf>
    <xf numFmtId="41" fontId="7" fillId="0" borderId="9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0" fontId="8" fillId="0" borderId="5" xfId="0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41" fontId="7" fillId="0" borderId="36" xfId="21" applyFont="1" applyBorder="1" applyAlignment="1">
      <alignment horizontal="center" vertical="center" shrinkToFit="1"/>
    </xf>
    <xf numFmtId="41" fontId="7" fillId="0" borderId="19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41" fontId="7" fillId="0" borderId="4" xfId="21" applyFont="1" applyBorder="1" applyAlignment="1">
      <alignment horizontal="center" vertical="center" shrinkToFit="1"/>
    </xf>
    <xf numFmtId="41" fontId="7" fillId="0" borderId="26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10" fontId="8" fillId="0" borderId="1" xfId="0" applyNumberFormat="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182" fontId="8" fillId="0" borderId="5" xfId="0" applyNumberFormat="1" applyFont="1" applyBorder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/>
    </xf>
    <xf numFmtId="41" fontId="8" fillId="0" borderId="11" xfId="25" applyFont="1" applyBorder="1" applyAlignment="1">
      <alignment horizontal="center" vertical="center"/>
    </xf>
    <xf numFmtId="41" fontId="8" fillId="0" borderId="15" xfId="25" applyFont="1" applyBorder="1" applyAlignment="1">
      <alignment horizontal="center" vertical="center"/>
    </xf>
    <xf numFmtId="41" fontId="6" fillId="0" borderId="10" xfId="23" applyNumberFormat="1" applyFont="1" applyBorder="1" applyAlignment="1">
      <alignment horizontal="center" vertical="center"/>
      <protection/>
    </xf>
    <xf numFmtId="41" fontId="6" fillId="0" borderId="62" xfId="23" applyNumberFormat="1" applyFont="1" applyBorder="1" applyAlignment="1">
      <alignment horizontal="center" vertical="center"/>
      <protection/>
    </xf>
    <xf numFmtId="41" fontId="6" fillId="0" borderId="11" xfId="23" applyNumberFormat="1" applyFont="1" applyBorder="1" applyAlignment="1">
      <alignment horizontal="center" vertical="center"/>
      <protection/>
    </xf>
    <xf numFmtId="41" fontId="6" fillId="0" borderId="30" xfId="23" applyNumberFormat="1" applyFont="1" applyBorder="1" applyAlignment="1">
      <alignment horizontal="center" vertical="center"/>
      <protection/>
    </xf>
    <xf numFmtId="41" fontId="21" fillId="6" borderId="10" xfId="25" applyFont="1" applyFill="1" applyBorder="1" applyAlignment="1">
      <alignment horizontal="right" vertical="center" wrapText="1"/>
    </xf>
    <xf numFmtId="0" fontId="8" fillId="0" borderId="10" xfId="23" applyFont="1" applyBorder="1" applyAlignment="1">
      <alignment horizontal="center" vertical="center" shrinkToFit="1"/>
      <protection/>
    </xf>
    <xf numFmtId="41" fontId="6" fillId="0" borderId="7" xfId="23" applyNumberFormat="1" applyFont="1" applyBorder="1" applyAlignment="1">
      <alignment horizontal="center" vertical="center"/>
      <protection/>
    </xf>
    <xf numFmtId="41" fontId="6" fillId="0" borderId="69" xfId="23" applyNumberFormat="1" applyFont="1" applyBorder="1" applyAlignment="1">
      <alignment horizontal="center" vertical="center"/>
      <protection/>
    </xf>
    <xf numFmtId="0" fontId="10" fillId="6" borderId="38" xfId="23" applyFont="1" applyFill="1" applyBorder="1" applyAlignment="1">
      <alignment horizontal="center" vertical="center"/>
      <protection/>
    </xf>
    <xf numFmtId="0" fontId="10" fillId="6" borderId="13" xfId="23" applyFont="1" applyFill="1" applyBorder="1" applyAlignment="1">
      <alignment horizontal="center" vertical="center"/>
      <protection/>
    </xf>
    <xf numFmtId="0" fontId="10" fillId="6" borderId="7" xfId="23" applyFont="1" applyFill="1" applyBorder="1" applyAlignment="1">
      <alignment horizontal="center" vertical="center"/>
      <protection/>
    </xf>
    <xf numFmtId="0" fontId="15" fillId="3" borderId="38" xfId="23" applyFont="1" applyFill="1" applyBorder="1" applyAlignment="1">
      <alignment horizontal="center" vertical="center"/>
      <protection/>
    </xf>
    <xf numFmtId="0" fontId="15" fillId="3" borderId="13" xfId="23" applyFont="1" applyFill="1" applyBorder="1" applyAlignment="1">
      <alignment horizontal="center" vertical="center"/>
      <protection/>
    </xf>
    <xf numFmtId="0" fontId="15" fillId="3" borderId="7" xfId="23" applyFont="1" applyFill="1" applyBorder="1" applyAlignment="1">
      <alignment horizontal="center" vertical="center"/>
      <protection/>
    </xf>
    <xf numFmtId="0" fontId="10" fillId="0" borderId="22" xfId="23" applyFont="1" applyBorder="1" applyAlignment="1">
      <alignment horizontal="center" vertical="center"/>
      <protection/>
    </xf>
    <xf numFmtId="0" fontId="10" fillId="7" borderId="38" xfId="23" applyFont="1" applyFill="1" applyBorder="1" applyAlignment="1">
      <alignment horizontal="center" vertical="center" wrapText="1"/>
      <protection/>
    </xf>
    <xf numFmtId="0" fontId="10" fillId="7" borderId="13" xfId="23" applyFont="1" applyFill="1" applyBorder="1" applyAlignment="1">
      <alignment horizontal="center" vertical="center" wrapText="1"/>
      <protection/>
    </xf>
    <xf numFmtId="0" fontId="10" fillId="7" borderId="7" xfId="23" applyFont="1" applyFill="1" applyBorder="1" applyAlignment="1">
      <alignment horizontal="center" vertical="center" wrapText="1"/>
      <protection/>
    </xf>
    <xf numFmtId="0" fontId="21" fillId="6" borderId="22" xfId="23" applyFont="1" applyFill="1" applyBorder="1" applyAlignment="1">
      <alignment horizontal="center" vertical="center" wrapText="1"/>
      <protection/>
    </xf>
    <xf numFmtId="0" fontId="21" fillId="6" borderId="61" xfId="23" applyFont="1" applyFill="1" applyBorder="1" applyAlignment="1">
      <alignment horizontal="center" vertical="center" wrapText="1"/>
      <protection/>
    </xf>
    <xf numFmtId="0" fontId="21" fillId="6" borderId="10" xfId="23" applyFont="1" applyFill="1" applyBorder="1" applyAlignment="1">
      <alignment horizontal="center" vertical="center" wrapText="1"/>
      <protection/>
    </xf>
    <xf numFmtId="0" fontId="21" fillId="6" borderId="62" xfId="23" applyFont="1" applyFill="1" applyBorder="1" applyAlignment="1">
      <alignment horizontal="center" vertical="center" wrapText="1"/>
      <protection/>
    </xf>
    <xf numFmtId="0" fontId="10" fillId="4" borderId="10" xfId="23" applyFont="1" applyFill="1" applyBorder="1" applyAlignment="1">
      <alignment horizontal="center" vertical="center" wrapText="1"/>
      <protection/>
    </xf>
    <xf numFmtId="0" fontId="20" fillId="0" borderId="1" xfId="23" applyFont="1" applyBorder="1" applyAlignment="1">
      <alignment horizontal="center" vertical="center"/>
      <protection/>
    </xf>
    <xf numFmtId="0" fontId="8" fillId="0" borderId="60" xfId="23" applyFont="1" applyBorder="1" applyAlignment="1">
      <alignment horizontal="center" vertical="center"/>
      <protection/>
    </xf>
    <xf numFmtId="0" fontId="8" fillId="0" borderId="56" xfId="23" applyFont="1" applyBorder="1" applyAlignment="1">
      <alignment horizontal="center" vertical="center"/>
      <protection/>
    </xf>
    <xf numFmtId="0" fontId="8" fillId="0" borderId="22" xfId="23" applyFont="1" applyBorder="1" applyAlignment="1">
      <alignment horizontal="center" vertical="center"/>
      <protection/>
    </xf>
    <xf numFmtId="0" fontId="8" fillId="0" borderId="10" xfId="23" applyFont="1" applyBorder="1" applyAlignment="1">
      <alignment horizontal="center" vertical="center"/>
      <protection/>
    </xf>
    <xf numFmtId="0" fontId="8" fillId="0" borderId="38" xfId="23" applyFont="1" applyBorder="1" applyAlignment="1">
      <alignment horizontal="center" vertical="center"/>
      <protection/>
    </xf>
    <xf numFmtId="0" fontId="8" fillId="0" borderId="13" xfId="23" applyFont="1" applyBorder="1" applyAlignment="1">
      <alignment horizontal="center" vertical="center"/>
      <protection/>
    </xf>
    <xf numFmtId="0" fontId="8" fillId="0" borderId="7" xfId="23" applyFont="1" applyBorder="1" applyAlignment="1">
      <alignment horizontal="center" vertical="center"/>
      <protection/>
    </xf>
    <xf numFmtId="0" fontId="0" fillId="0" borderId="13" xfId="23" applyBorder="1" applyAlignment="1">
      <alignment vertical="center"/>
      <protection/>
    </xf>
    <xf numFmtId="0" fontId="0" fillId="0" borderId="7" xfId="23" applyBorder="1" applyAlignment="1">
      <alignment vertical="center"/>
      <protection/>
    </xf>
    <xf numFmtId="0" fontId="10" fillId="0" borderId="38" xfId="23" applyFont="1" applyBorder="1" applyAlignment="1">
      <alignment horizontal="center" vertical="center" wrapText="1"/>
      <protection/>
    </xf>
    <xf numFmtId="0" fontId="10" fillId="0" borderId="13" xfId="23" applyFont="1" applyBorder="1" applyAlignment="1">
      <alignment horizontal="center" vertical="center" wrapText="1"/>
      <protection/>
    </xf>
    <xf numFmtId="0" fontId="10" fillId="0" borderId="7" xfId="23" applyFont="1" applyBorder="1" applyAlignment="1">
      <alignment horizontal="center" vertical="center" wrapText="1"/>
      <protection/>
    </xf>
    <xf numFmtId="0" fontId="11" fillId="0" borderId="10" xfId="23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쉼표 [0]" xfId="21"/>
    <cellStyle name="통화 [0]" xfId="22"/>
    <cellStyle name="표준 2" xfId="23"/>
    <cellStyle name="쉼표 [0] 2" xfId="24"/>
    <cellStyle name="쉼표 [0] 2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AppData\Local\Temp\_AZTMP11_\&#48277;&#51064;\2013.12.13-&#51221;&#44592;&#51060;&#49324;&#54924;\&#50648;&#47548;&#49548;&#47581;&#51032;&#51665;\2014&#45380;%20&#50696;&#49328;&#49436;-&#50648;&#47548;&#49548;&#47581;(&#51060;&#49324;&#54924;&#52572;&#51333;&#48376;)%20(version%20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괄"/>
      <sheetName val="세입예산"/>
      <sheetName val="세출예산"/>
      <sheetName val="보수일람표"/>
      <sheetName val="총인건비"/>
      <sheetName val="Sheet1"/>
    </sheetNames>
    <sheetDataSet>
      <sheetData sheetId="0"/>
      <sheetData sheetId="1"/>
      <sheetData sheetId="2"/>
      <sheetData sheetId="3">
        <row r="224">
          <cell r="E224">
            <v>0</v>
          </cell>
        </row>
        <row r="227">
          <cell r="E227">
            <v>0</v>
          </cell>
        </row>
        <row r="230">
          <cell r="E230">
            <v>0</v>
          </cell>
        </row>
        <row r="321">
          <cell r="E321">
            <v>0</v>
          </cell>
        </row>
        <row r="324">
          <cell r="E32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85" zoomScaleSheetLayoutView="85" workbookViewId="0" topLeftCell="A1">
      <selection activeCell="D27" sqref="D27"/>
    </sheetView>
  </sheetViews>
  <sheetFormatPr defaultColWidth="8.88671875" defaultRowHeight="13.5"/>
  <cols>
    <col min="1" max="2" width="11.88671875" style="296" customWidth="1"/>
    <col min="3" max="4" width="12.88671875" style="296" customWidth="1"/>
    <col min="5" max="5" width="12.77734375" style="296" customWidth="1"/>
    <col min="6" max="6" width="7.3359375" style="296" customWidth="1"/>
    <col min="7" max="7" width="5.6640625" style="296" customWidth="1"/>
    <col min="8" max="12" width="11.88671875" style="296" customWidth="1"/>
    <col min="13" max="13" width="7.99609375" style="296" customWidth="1"/>
    <col min="14" max="14" width="6.3359375" style="296" customWidth="1"/>
    <col min="15" max="16384" width="8.88671875" style="296" customWidth="1"/>
  </cols>
  <sheetData>
    <row r="1" spans="1:14" ht="30.75" customHeight="1">
      <c r="A1" s="728" t="s">
        <v>502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</row>
    <row r="2" spans="1:14" ht="18.75" customHeight="1" thickBo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733" t="s">
        <v>453</v>
      </c>
      <c r="M2" s="733"/>
      <c r="N2" s="733"/>
    </row>
    <row r="3" spans="1:14" ht="23.25" customHeight="1" thickBot="1">
      <c r="A3" s="734" t="s">
        <v>499</v>
      </c>
      <c r="B3" s="735"/>
      <c r="C3" s="735"/>
      <c r="D3" s="735"/>
      <c r="E3" s="735"/>
      <c r="F3" s="735"/>
      <c r="G3" s="736"/>
      <c r="H3" s="735" t="s">
        <v>500</v>
      </c>
      <c r="I3" s="735"/>
      <c r="J3" s="735"/>
      <c r="K3" s="735"/>
      <c r="L3" s="735"/>
      <c r="M3" s="735"/>
      <c r="N3" s="737"/>
    </row>
    <row r="4" spans="1:14" ht="16.5" customHeight="1">
      <c r="A4" s="738" t="s">
        <v>493</v>
      </c>
      <c r="B4" s="740" t="s">
        <v>494</v>
      </c>
      <c r="C4" s="718" t="s">
        <v>495</v>
      </c>
      <c r="D4" s="720" t="s">
        <v>456</v>
      </c>
      <c r="E4" s="720" t="s">
        <v>501</v>
      </c>
      <c r="F4" s="722" t="s">
        <v>496</v>
      </c>
      <c r="G4" s="742"/>
      <c r="H4" s="738" t="s">
        <v>493</v>
      </c>
      <c r="I4" s="740" t="s">
        <v>494</v>
      </c>
      <c r="J4" s="718" t="s">
        <v>495</v>
      </c>
      <c r="K4" s="720" t="s">
        <v>456</v>
      </c>
      <c r="L4" s="720" t="s">
        <v>501</v>
      </c>
      <c r="M4" s="722" t="s">
        <v>496</v>
      </c>
      <c r="N4" s="723"/>
    </row>
    <row r="5" spans="1:14" ht="16.5" customHeight="1" thickBot="1">
      <c r="A5" s="739"/>
      <c r="B5" s="741"/>
      <c r="C5" s="719"/>
      <c r="D5" s="721"/>
      <c r="E5" s="721"/>
      <c r="F5" s="605" t="s">
        <v>497</v>
      </c>
      <c r="G5" s="606" t="s">
        <v>498</v>
      </c>
      <c r="H5" s="743"/>
      <c r="I5" s="741"/>
      <c r="J5" s="719"/>
      <c r="K5" s="721"/>
      <c r="L5" s="721"/>
      <c r="M5" s="605" t="s">
        <v>497</v>
      </c>
      <c r="N5" s="607" t="s">
        <v>498</v>
      </c>
    </row>
    <row r="6" spans="1:14" ht="29.25" customHeight="1" thickBot="1">
      <c r="A6" s="729" t="s">
        <v>211</v>
      </c>
      <c r="B6" s="730"/>
      <c r="C6" s="731"/>
      <c r="D6" s="694">
        <v>587900</v>
      </c>
      <c r="E6" s="694">
        <v>593999.83</v>
      </c>
      <c r="F6" s="692">
        <v>-6099.829999999958</v>
      </c>
      <c r="G6" s="693">
        <v>-1.0269077013035428</v>
      </c>
      <c r="H6" s="732" t="s">
        <v>211</v>
      </c>
      <c r="I6" s="730"/>
      <c r="J6" s="731"/>
      <c r="K6" s="694">
        <v>587900</v>
      </c>
      <c r="L6" s="692">
        <v>594000.1499999999</v>
      </c>
      <c r="M6" s="692">
        <v>-6100.149999999907</v>
      </c>
      <c r="N6" s="704">
        <v>-1.026961020127672</v>
      </c>
    </row>
    <row r="7" spans="1:14" ht="18.75" customHeight="1">
      <c r="A7" s="335" t="s">
        <v>212</v>
      </c>
      <c r="B7" s="336"/>
      <c r="C7" s="709"/>
      <c r="D7" s="699">
        <v>23400</v>
      </c>
      <c r="E7" s="337">
        <v>23400</v>
      </c>
      <c r="F7" s="613">
        <v>0</v>
      </c>
      <c r="G7" s="614">
        <v>0</v>
      </c>
      <c r="H7" s="224" t="s">
        <v>213</v>
      </c>
      <c r="I7" s="338"/>
      <c r="J7" s="339"/>
      <c r="K7" s="686">
        <v>412054</v>
      </c>
      <c r="L7" s="340">
        <v>428443.2899999999</v>
      </c>
      <c r="M7" s="613">
        <v>-16389.28999999992</v>
      </c>
      <c r="N7" s="617">
        <v>-3.825311396521087</v>
      </c>
    </row>
    <row r="8" spans="1:14" ht="18.75" customHeight="1">
      <c r="A8" s="230"/>
      <c r="B8" s="218" t="s">
        <v>214</v>
      </c>
      <c r="C8" s="211"/>
      <c r="D8" s="695">
        <v>23400</v>
      </c>
      <c r="E8" s="206">
        <v>23400</v>
      </c>
      <c r="F8" s="613">
        <v>0</v>
      </c>
      <c r="G8" s="614">
        <v>0</v>
      </c>
      <c r="H8" s="225"/>
      <c r="I8" s="218" t="s">
        <v>215</v>
      </c>
      <c r="J8" s="211"/>
      <c r="K8" s="619">
        <v>398354</v>
      </c>
      <c r="L8" s="206">
        <v>414143.2899999999</v>
      </c>
      <c r="M8" s="583">
        <v>-15789.28999999992</v>
      </c>
      <c r="N8" s="705">
        <v>-3.8125186091992163</v>
      </c>
    </row>
    <row r="9" spans="1:14" ht="18.75" customHeight="1">
      <c r="A9" s="212"/>
      <c r="B9" s="214"/>
      <c r="C9" s="211" t="s">
        <v>214</v>
      </c>
      <c r="D9" s="695">
        <v>23400</v>
      </c>
      <c r="E9" s="206">
        <v>23400</v>
      </c>
      <c r="F9" s="613">
        <v>0</v>
      </c>
      <c r="G9" s="614">
        <v>0</v>
      </c>
      <c r="H9" s="225"/>
      <c r="I9" s="219"/>
      <c r="J9" s="211" t="s">
        <v>216</v>
      </c>
      <c r="K9" s="619">
        <v>249652</v>
      </c>
      <c r="L9" s="206">
        <v>266439</v>
      </c>
      <c r="M9" s="583">
        <v>-16787</v>
      </c>
      <c r="N9" s="705">
        <v>-6.3005040553372424</v>
      </c>
    </row>
    <row r="10" spans="1:14" ht="18.75" customHeight="1">
      <c r="A10" s="231" t="s">
        <v>217</v>
      </c>
      <c r="B10" s="702"/>
      <c r="C10" s="205"/>
      <c r="D10" s="700">
        <v>511650</v>
      </c>
      <c r="E10" s="207">
        <v>541895.83</v>
      </c>
      <c r="F10" s="613">
        <v>-30245.829999999958</v>
      </c>
      <c r="G10" s="614">
        <v>-5.581484175657877</v>
      </c>
      <c r="H10" s="225"/>
      <c r="I10" s="219"/>
      <c r="J10" s="211" t="s">
        <v>218</v>
      </c>
      <c r="K10" s="619">
        <v>0</v>
      </c>
      <c r="L10" s="206">
        <v>0</v>
      </c>
      <c r="M10" s="583">
        <v>0</v>
      </c>
      <c r="N10" s="712" t="s">
        <v>504</v>
      </c>
    </row>
    <row r="11" spans="1:14" ht="18.75" customHeight="1">
      <c r="A11" s="230"/>
      <c r="B11" s="220" t="s">
        <v>219</v>
      </c>
      <c r="C11" s="205"/>
      <c r="D11" s="696">
        <v>511650</v>
      </c>
      <c r="E11" s="206">
        <v>541895.83</v>
      </c>
      <c r="F11" s="583">
        <v>-30245.829999999958</v>
      </c>
      <c r="G11" s="618">
        <v>-5.581484175657877</v>
      </c>
      <c r="H11" s="225"/>
      <c r="I11" s="219"/>
      <c r="J11" s="211" t="s">
        <v>220</v>
      </c>
      <c r="K11" s="619">
        <v>0</v>
      </c>
      <c r="L11" s="206">
        <v>0</v>
      </c>
      <c r="M11" s="583">
        <v>0</v>
      </c>
      <c r="N11" s="712" t="s">
        <v>504</v>
      </c>
    </row>
    <row r="12" spans="1:14" ht="18.75" customHeight="1">
      <c r="A12" s="230"/>
      <c r="B12" s="221"/>
      <c r="C12" s="205" t="s">
        <v>221</v>
      </c>
      <c r="D12" s="696">
        <v>511640</v>
      </c>
      <c r="E12" s="206">
        <v>541895.83</v>
      </c>
      <c r="F12" s="583">
        <v>-30255.829999999958</v>
      </c>
      <c r="G12" s="618">
        <v>-5.583329548780611</v>
      </c>
      <c r="H12" s="225"/>
      <c r="I12" s="219"/>
      <c r="J12" s="211" t="s">
        <v>222</v>
      </c>
      <c r="K12" s="619">
        <v>89660</v>
      </c>
      <c r="L12" s="206">
        <v>79058.34</v>
      </c>
      <c r="M12" s="583">
        <v>10601.660000000003</v>
      </c>
      <c r="N12" s="705">
        <v>13.409919813646482</v>
      </c>
    </row>
    <row r="13" spans="1:14" ht="18.75" customHeight="1">
      <c r="A13" s="230"/>
      <c r="B13" s="221"/>
      <c r="C13" s="205" t="s">
        <v>223</v>
      </c>
      <c r="D13" s="696">
        <v>0</v>
      </c>
      <c r="E13" s="206">
        <v>0</v>
      </c>
      <c r="F13" s="613">
        <v>0</v>
      </c>
      <c r="G13" s="622" t="s">
        <v>504</v>
      </c>
      <c r="H13" s="225"/>
      <c r="I13" s="219"/>
      <c r="J13" s="211" t="s">
        <v>224</v>
      </c>
      <c r="K13" s="619">
        <v>27499</v>
      </c>
      <c r="L13" s="206">
        <v>32045.61</v>
      </c>
      <c r="M13" s="583">
        <v>-4546.610000000001</v>
      </c>
      <c r="N13" s="705">
        <v>-14.187934010305938</v>
      </c>
    </row>
    <row r="14" spans="1:16" ht="18.75" customHeight="1">
      <c r="A14" s="212"/>
      <c r="B14" s="215"/>
      <c r="C14" s="205" t="s">
        <v>225</v>
      </c>
      <c r="D14" s="696">
        <v>0</v>
      </c>
      <c r="E14" s="206">
        <v>0</v>
      </c>
      <c r="F14" s="613">
        <v>0</v>
      </c>
      <c r="G14" s="622" t="s">
        <v>504</v>
      </c>
      <c r="H14" s="225"/>
      <c r="I14" s="219"/>
      <c r="J14" s="211" t="s">
        <v>226</v>
      </c>
      <c r="K14" s="619">
        <v>31143</v>
      </c>
      <c r="L14" s="206">
        <v>36200.34</v>
      </c>
      <c r="M14" s="583">
        <v>-5057.3399999999965</v>
      </c>
      <c r="N14" s="705">
        <v>-13.970421272286373</v>
      </c>
      <c r="P14" s="298"/>
    </row>
    <row r="15" spans="1:14" ht="18.75" customHeight="1">
      <c r="A15" s="231" t="s">
        <v>227</v>
      </c>
      <c r="B15" s="217"/>
      <c r="C15" s="205"/>
      <c r="D15" s="700">
        <v>10000</v>
      </c>
      <c r="E15" s="207">
        <v>10000</v>
      </c>
      <c r="F15" s="613">
        <v>0</v>
      </c>
      <c r="G15" s="622">
        <v>0</v>
      </c>
      <c r="H15" s="225"/>
      <c r="I15" s="214"/>
      <c r="J15" s="211" t="s">
        <v>228</v>
      </c>
      <c r="K15" s="619">
        <v>400</v>
      </c>
      <c r="L15" s="206">
        <v>400</v>
      </c>
      <c r="M15" s="583">
        <v>0</v>
      </c>
      <c r="N15" s="705">
        <v>0</v>
      </c>
    </row>
    <row r="16" spans="1:14" ht="18.75" customHeight="1">
      <c r="A16" s="230"/>
      <c r="B16" s="220" t="s">
        <v>229</v>
      </c>
      <c r="C16" s="205"/>
      <c r="D16" s="696">
        <v>10000</v>
      </c>
      <c r="E16" s="206">
        <v>10000</v>
      </c>
      <c r="F16" s="613">
        <v>0</v>
      </c>
      <c r="G16" s="622">
        <v>0</v>
      </c>
      <c r="H16" s="225"/>
      <c r="I16" s="218" t="s">
        <v>230</v>
      </c>
      <c r="J16" s="205"/>
      <c r="K16" s="619">
        <v>640</v>
      </c>
      <c r="L16" s="206">
        <v>640</v>
      </c>
      <c r="M16" s="583">
        <v>0</v>
      </c>
      <c r="N16" s="705">
        <v>0</v>
      </c>
    </row>
    <row r="17" spans="1:14" ht="18.75" customHeight="1">
      <c r="A17" s="230"/>
      <c r="B17" s="221"/>
      <c r="C17" s="205" t="s">
        <v>231</v>
      </c>
      <c r="D17" s="696">
        <v>6000</v>
      </c>
      <c r="E17" s="206">
        <v>6000</v>
      </c>
      <c r="F17" s="613">
        <v>0</v>
      </c>
      <c r="G17" s="622">
        <v>0</v>
      </c>
      <c r="H17" s="225"/>
      <c r="I17" s="219"/>
      <c r="J17" s="205" t="s">
        <v>232</v>
      </c>
      <c r="K17" s="619">
        <v>440</v>
      </c>
      <c r="L17" s="206">
        <v>440</v>
      </c>
      <c r="M17" s="583">
        <v>0</v>
      </c>
      <c r="N17" s="705">
        <v>0</v>
      </c>
    </row>
    <row r="18" spans="1:14" ht="18.75" customHeight="1">
      <c r="A18" s="212"/>
      <c r="B18" s="215"/>
      <c r="C18" s="205" t="s">
        <v>233</v>
      </c>
      <c r="D18" s="696">
        <v>4000</v>
      </c>
      <c r="E18" s="206">
        <v>4000</v>
      </c>
      <c r="F18" s="613">
        <v>0</v>
      </c>
      <c r="G18" s="622">
        <v>0</v>
      </c>
      <c r="H18" s="225"/>
      <c r="I18" s="214"/>
      <c r="J18" s="205" t="s">
        <v>235</v>
      </c>
      <c r="K18" s="619">
        <v>200</v>
      </c>
      <c r="L18" s="206">
        <v>200</v>
      </c>
      <c r="M18" s="583">
        <v>0</v>
      </c>
      <c r="N18" s="705">
        <v>0</v>
      </c>
    </row>
    <row r="19" spans="1:14" ht="18.75" customHeight="1">
      <c r="A19" s="231" t="s">
        <v>234</v>
      </c>
      <c r="B19" s="217"/>
      <c r="C19" s="205"/>
      <c r="D19" s="696">
        <v>0</v>
      </c>
      <c r="E19" s="207">
        <v>0</v>
      </c>
      <c r="F19" s="613">
        <v>0</v>
      </c>
      <c r="G19" s="622" t="s">
        <v>504</v>
      </c>
      <c r="H19" s="225"/>
      <c r="I19" s="219" t="s">
        <v>237</v>
      </c>
      <c r="J19" s="205"/>
      <c r="K19" s="619">
        <v>13060</v>
      </c>
      <c r="L19" s="206">
        <v>13660</v>
      </c>
      <c r="M19" s="583">
        <v>-600</v>
      </c>
      <c r="N19" s="705">
        <v>-4.392386530014633</v>
      </c>
    </row>
    <row r="20" spans="1:14" ht="18.75" customHeight="1">
      <c r="A20" s="230"/>
      <c r="B20" s="220" t="s">
        <v>236</v>
      </c>
      <c r="C20" s="205"/>
      <c r="D20" s="696">
        <v>0</v>
      </c>
      <c r="E20" s="206">
        <v>0</v>
      </c>
      <c r="F20" s="613">
        <v>0</v>
      </c>
      <c r="G20" s="622" t="s">
        <v>504</v>
      </c>
      <c r="H20" s="225"/>
      <c r="I20" s="219"/>
      <c r="J20" s="205" t="s">
        <v>239</v>
      </c>
      <c r="K20" s="619">
        <v>600</v>
      </c>
      <c r="L20" s="206">
        <v>600</v>
      </c>
      <c r="M20" s="583">
        <v>0</v>
      </c>
      <c r="N20" s="705">
        <v>0</v>
      </c>
    </row>
    <row r="21" spans="1:14" ht="18.75" customHeight="1">
      <c r="A21" s="230"/>
      <c r="B21" s="221"/>
      <c r="C21" s="205" t="s">
        <v>238</v>
      </c>
      <c r="D21" s="696">
        <v>0</v>
      </c>
      <c r="E21" s="206">
        <v>0</v>
      </c>
      <c r="F21" s="613">
        <v>0</v>
      </c>
      <c r="G21" s="622" t="s">
        <v>504</v>
      </c>
      <c r="H21" s="225"/>
      <c r="I21" s="219"/>
      <c r="J21" s="205" t="s">
        <v>241</v>
      </c>
      <c r="K21" s="619">
        <v>3600</v>
      </c>
      <c r="L21" s="206">
        <v>3600</v>
      </c>
      <c r="M21" s="583">
        <v>0</v>
      </c>
      <c r="N21" s="705">
        <v>0</v>
      </c>
    </row>
    <row r="22" spans="1:14" ht="18.75" customHeight="1">
      <c r="A22" s="212"/>
      <c r="B22" s="215"/>
      <c r="C22" s="205" t="s">
        <v>240</v>
      </c>
      <c r="D22" s="696">
        <v>0</v>
      </c>
      <c r="E22" s="206">
        <v>0</v>
      </c>
      <c r="F22" s="613">
        <v>0</v>
      </c>
      <c r="G22" s="622" t="s">
        <v>504</v>
      </c>
      <c r="H22" s="225"/>
      <c r="I22" s="219"/>
      <c r="J22" s="205" t="s">
        <v>243</v>
      </c>
      <c r="K22" s="619">
        <v>3000</v>
      </c>
      <c r="L22" s="206">
        <v>3000</v>
      </c>
      <c r="M22" s="583">
        <v>0</v>
      </c>
      <c r="N22" s="705">
        <v>0</v>
      </c>
    </row>
    <row r="23" spans="1:14" ht="18.75" customHeight="1">
      <c r="A23" s="231" t="s">
        <v>242</v>
      </c>
      <c r="B23" s="217"/>
      <c r="C23" s="205"/>
      <c r="D23" s="700">
        <v>10000</v>
      </c>
      <c r="E23" s="207">
        <v>10000</v>
      </c>
      <c r="F23" s="613">
        <v>0</v>
      </c>
      <c r="G23" s="622" t="s">
        <v>504</v>
      </c>
      <c r="H23" s="225"/>
      <c r="I23" s="219"/>
      <c r="J23" s="205" t="s">
        <v>245</v>
      </c>
      <c r="K23" s="619">
        <v>3460</v>
      </c>
      <c r="L23" s="206">
        <v>3460</v>
      </c>
      <c r="M23" s="583">
        <v>0</v>
      </c>
      <c r="N23" s="705">
        <v>0</v>
      </c>
    </row>
    <row r="24" spans="1:14" ht="18.75" customHeight="1">
      <c r="A24" s="230"/>
      <c r="B24" s="220" t="s">
        <v>244</v>
      </c>
      <c r="C24" s="205"/>
      <c r="D24" s="696">
        <v>10000</v>
      </c>
      <c r="E24" s="206">
        <v>10000</v>
      </c>
      <c r="F24" s="613">
        <v>0</v>
      </c>
      <c r="G24" s="622">
        <v>0</v>
      </c>
      <c r="H24" s="225"/>
      <c r="I24" s="214"/>
      <c r="J24" s="205" t="s">
        <v>247</v>
      </c>
      <c r="K24" s="619">
        <v>2400</v>
      </c>
      <c r="L24" s="206">
        <v>3000</v>
      </c>
      <c r="M24" s="583">
        <v>-600</v>
      </c>
      <c r="N24" s="705">
        <v>-20</v>
      </c>
    </row>
    <row r="25" spans="1:14" ht="18.75" customHeight="1">
      <c r="A25" s="212"/>
      <c r="B25" s="215"/>
      <c r="C25" s="205" t="s">
        <v>246</v>
      </c>
      <c r="D25" s="696">
        <v>10000</v>
      </c>
      <c r="E25" s="206">
        <v>10000</v>
      </c>
      <c r="F25" s="613">
        <v>0</v>
      </c>
      <c r="G25" s="622">
        <v>0</v>
      </c>
      <c r="H25" s="227" t="s">
        <v>249</v>
      </c>
      <c r="I25" s="217"/>
      <c r="J25" s="205"/>
      <c r="K25" s="623">
        <v>32396</v>
      </c>
      <c r="L25" s="207">
        <v>8040</v>
      </c>
      <c r="M25" s="613">
        <v>24356</v>
      </c>
      <c r="N25" s="617">
        <v>302.93532338308455</v>
      </c>
    </row>
    <row r="26" spans="1:14" ht="18.75" customHeight="1">
      <c r="A26" s="231" t="s">
        <v>248</v>
      </c>
      <c r="B26" s="217"/>
      <c r="C26" s="205"/>
      <c r="D26" s="700">
        <v>26618</v>
      </c>
      <c r="E26" s="207">
        <v>2500</v>
      </c>
      <c r="F26" s="613">
        <v>24118</v>
      </c>
      <c r="G26" s="622">
        <v>964.72</v>
      </c>
      <c r="H26" s="225"/>
      <c r="I26" s="220" t="s">
        <v>251</v>
      </c>
      <c r="J26" s="205"/>
      <c r="K26" s="619">
        <v>32396</v>
      </c>
      <c r="L26" s="206">
        <v>8040</v>
      </c>
      <c r="M26" s="583">
        <v>24356</v>
      </c>
      <c r="N26" s="705">
        <v>302.93532338308455</v>
      </c>
    </row>
    <row r="27" spans="1:14" ht="18.75" customHeight="1">
      <c r="A27" s="230"/>
      <c r="B27" s="220" t="s">
        <v>250</v>
      </c>
      <c r="C27" s="205"/>
      <c r="D27" s="696">
        <v>26618</v>
      </c>
      <c r="E27" s="206">
        <v>2500</v>
      </c>
      <c r="F27" s="583">
        <v>24118</v>
      </c>
      <c r="G27" s="711">
        <v>964.72</v>
      </c>
      <c r="H27" s="225"/>
      <c r="I27" s="221"/>
      <c r="J27" s="205" t="s">
        <v>251</v>
      </c>
      <c r="K27" s="619">
        <v>26000</v>
      </c>
      <c r="L27" s="206">
        <v>0</v>
      </c>
      <c r="M27" s="583">
        <v>26000</v>
      </c>
      <c r="N27" s="705" t="s">
        <v>504</v>
      </c>
    </row>
    <row r="28" spans="1:14" ht="18.75" customHeight="1">
      <c r="A28" s="230"/>
      <c r="B28" s="221"/>
      <c r="C28" s="205" t="s">
        <v>252</v>
      </c>
      <c r="D28" s="696">
        <v>513</v>
      </c>
      <c r="E28" s="206">
        <v>2500</v>
      </c>
      <c r="F28" s="583">
        <v>-1987</v>
      </c>
      <c r="G28" s="711">
        <v>-79.48</v>
      </c>
      <c r="H28" s="225"/>
      <c r="I28" s="221"/>
      <c r="J28" s="205" t="s">
        <v>254</v>
      </c>
      <c r="K28" s="619">
        <v>1200</v>
      </c>
      <c r="L28" s="206">
        <v>1200</v>
      </c>
      <c r="M28" s="583">
        <v>0</v>
      </c>
      <c r="N28" s="705">
        <v>0</v>
      </c>
    </row>
    <row r="29" spans="1:14" ht="18.75" customHeight="1">
      <c r="A29" s="230"/>
      <c r="B29" s="221"/>
      <c r="C29" s="205" t="s">
        <v>503</v>
      </c>
      <c r="D29" s="696">
        <v>105</v>
      </c>
      <c r="E29" s="206">
        <v>0</v>
      </c>
      <c r="F29" s="583">
        <v>105</v>
      </c>
      <c r="G29" s="711"/>
      <c r="H29" s="225"/>
      <c r="I29" s="215"/>
      <c r="J29" s="205" t="s">
        <v>255</v>
      </c>
      <c r="K29" s="619">
        <v>5196</v>
      </c>
      <c r="L29" s="206">
        <v>6840</v>
      </c>
      <c r="M29" s="583">
        <v>-1644</v>
      </c>
      <c r="N29" s="705">
        <v>-24.035087719298247</v>
      </c>
    </row>
    <row r="30" spans="1:14" ht="18.75" customHeight="1">
      <c r="A30" s="212"/>
      <c r="B30" s="214"/>
      <c r="C30" s="205" t="s">
        <v>253</v>
      </c>
      <c r="D30" s="696">
        <v>26000</v>
      </c>
      <c r="E30" s="206">
        <v>0</v>
      </c>
      <c r="F30" s="583">
        <v>26000</v>
      </c>
      <c r="G30" s="711"/>
      <c r="H30" s="227" t="s">
        <v>206</v>
      </c>
      <c r="I30" s="594"/>
      <c r="J30" s="300"/>
      <c r="K30" s="687">
        <v>142304</v>
      </c>
      <c r="L30" s="585">
        <v>156353.86</v>
      </c>
      <c r="M30" s="613">
        <v>-14049.859999999986</v>
      </c>
      <c r="N30" s="617">
        <v>-8.985937411458849</v>
      </c>
    </row>
    <row r="31" spans="1:14" ht="18.75" customHeight="1">
      <c r="A31" s="230" t="s">
        <v>408</v>
      </c>
      <c r="B31" s="217"/>
      <c r="C31" s="205"/>
      <c r="D31" s="700">
        <v>6232</v>
      </c>
      <c r="E31" s="207">
        <v>6204</v>
      </c>
      <c r="F31" s="613">
        <v>28</v>
      </c>
      <c r="G31" s="622">
        <v>0.45132172791747394</v>
      </c>
      <c r="H31" s="225"/>
      <c r="I31" s="220" t="s">
        <v>237</v>
      </c>
      <c r="J31" s="205"/>
      <c r="K31" s="619">
        <v>131944</v>
      </c>
      <c r="L31" s="206">
        <v>147143.86</v>
      </c>
      <c r="M31" s="583">
        <v>-15199.859999999986</v>
      </c>
      <c r="N31" s="705">
        <v>-10.329931537748152</v>
      </c>
    </row>
    <row r="32" spans="1:14" ht="18.75" customHeight="1" thickBot="1">
      <c r="A32" s="341"/>
      <c r="B32" s="713" t="s">
        <v>450</v>
      </c>
      <c r="C32" s="342"/>
      <c r="D32" s="697">
        <v>6232</v>
      </c>
      <c r="E32" s="343">
        <v>6204</v>
      </c>
      <c r="F32" s="706">
        <v>28</v>
      </c>
      <c r="G32" s="714">
        <v>0.45132172791747394</v>
      </c>
      <c r="H32" s="344"/>
      <c r="I32" s="595"/>
      <c r="J32" s="342" t="s">
        <v>259</v>
      </c>
      <c r="K32" s="638">
        <v>101639</v>
      </c>
      <c r="L32" s="343">
        <v>113518.86</v>
      </c>
      <c r="M32" s="706">
        <v>-11879.86</v>
      </c>
      <c r="N32" s="707">
        <v>-10.465098046262966</v>
      </c>
    </row>
    <row r="33" spans="1:14" ht="18.75" customHeight="1">
      <c r="A33" s="715"/>
      <c r="B33" s="716"/>
      <c r="C33" s="345" t="s">
        <v>256</v>
      </c>
      <c r="D33" s="698">
        <v>0</v>
      </c>
      <c r="E33" s="346">
        <v>0</v>
      </c>
      <c r="F33" s="337">
        <v>0</v>
      </c>
      <c r="G33" s="717" t="s">
        <v>504</v>
      </c>
      <c r="H33" s="224"/>
      <c r="I33" s="338"/>
      <c r="J33" s="579" t="s">
        <v>261</v>
      </c>
      <c r="K33" s="636">
        <v>3600</v>
      </c>
      <c r="L33" s="346">
        <v>4200</v>
      </c>
      <c r="M33" s="346">
        <v>-600</v>
      </c>
      <c r="N33" s="708">
        <v>-14.285714285714292</v>
      </c>
    </row>
    <row r="34" spans="1:14" ht="18.75" customHeight="1">
      <c r="A34" s="230" t="s">
        <v>505</v>
      </c>
      <c r="B34" s="221" t="s">
        <v>506</v>
      </c>
      <c r="C34" s="214" t="s">
        <v>258</v>
      </c>
      <c r="D34" s="710">
        <v>51</v>
      </c>
      <c r="E34" s="583">
        <v>51</v>
      </c>
      <c r="F34" s="613">
        <v>0</v>
      </c>
      <c r="G34" s="622">
        <v>0</v>
      </c>
      <c r="H34" s="225"/>
      <c r="I34" s="219"/>
      <c r="J34" s="580" t="s">
        <v>37</v>
      </c>
      <c r="K34" s="619">
        <v>2625</v>
      </c>
      <c r="L34" s="206">
        <v>2625</v>
      </c>
      <c r="M34" s="583">
        <v>0</v>
      </c>
      <c r="N34" s="705">
        <v>0</v>
      </c>
    </row>
    <row r="35" spans="1:14" ht="18.75" customHeight="1">
      <c r="A35" s="212"/>
      <c r="B35" s="215"/>
      <c r="C35" s="205" t="s">
        <v>260</v>
      </c>
      <c r="D35" s="696">
        <v>6181</v>
      </c>
      <c r="E35" s="206">
        <v>6153</v>
      </c>
      <c r="F35" s="583">
        <v>28</v>
      </c>
      <c r="G35" s="711">
        <v>0.4550625711035252</v>
      </c>
      <c r="H35" s="225"/>
      <c r="I35" s="219"/>
      <c r="J35" s="580" t="s">
        <v>262</v>
      </c>
      <c r="K35" s="619">
        <v>480</v>
      </c>
      <c r="L35" s="206">
        <v>800</v>
      </c>
      <c r="M35" s="583">
        <v>-320</v>
      </c>
      <c r="N35" s="705">
        <v>-40</v>
      </c>
    </row>
    <row r="36" spans="1:14" ht="18.75" customHeight="1">
      <c r="A36" s="724"/>
      <c r="B36" s="219"/>
      <c r="C36" s="219"/>
      <c r="D36" s="219"/>
      <c r="E36" s="219"/>
      <c r="F36" s="219"/>
      <c r="G36" s="217"/>
      <c r="H36" s="225"/>
      <c r="I36" s="219"/>
      <c r="J36" s="580" t="s">
        <v>263</v>
      </c>
      <c r="K36" s="619">
        <v>1500</v>
      </c>
      <c r="L36" s="206">
        <v>1800</v>
      </c>
      <c r="M36" s="583">
        <v>-300</v>
      </c>
      <c r="N36" s="705">
        <v>-16.66666666666667</v>
      </c>
    </row>
    <row r="37" spans="1:14" ht="18.75" customHeight="1">
      <c r="A37" s="725"/>
      <c r="B37" s="219"/>
      <c r="C37" s="219"/>
      <c r="D37" s="219"/>
      <c r="E37" s="219"/>
      <c r="F37" s="219"/>
      <c r="G37" s="217"/>
      <c r="H37" s="225"/>
      <c r="I37" s="219"/>
      <c r="J37" s="580" t="s">
        <v>264</v>
      </c>
      <c r="K37" s="619">
        <v>0</v>
      </c>
      <c r="L37" s="206">
        <v>0</v>
      </c>
      <c r="M37" s="583">
        <v>0</v>
      </c>
      <c r="N37" s="712" t="s">
        <v>504</v>
      </c>
    </row>
    <row r="38" spans="1:14" ht="18.75" customHeight="1">
      <c r="A38" s="725"/>
      <c r="B38" s="219"/>
      <c r="C38" s="219"/>
      <c r="D38" s="219"/>
      <c r="E38" s="219"/>
      <c r="F38" s="219"/>
      <c r="G38" s="217"/>
      <c r="H38" s="225"/>
      <c r="I38" s="219"/>
      <c r="J38" s="580" t="s">
        <v>265</v>
      </c>
      <c r="K38" s="619">
        <v>0</v>
      </c>
      <c r="L38" s="206">
        <v>0</v>
      </c>
      <c r="M38" s="583">
        <v>0</v>
      </c>
      <c r="N38" s="712" t="s">
        <v>504</v>
      </c>
    </row>
    <row r="39" spans="1:14" ht="18.75" customHeight="1">
      <c r="A39" s="725"/>
      <c r="B39" s="219"/>
      <c r="C39" s="219"/>
      <c r="D39" s="219"/>
      <c r="E39" s="219"/>
      <c r="F39" s="219"/>
      <c r="G39" s="217"/>
      <c r="H39" s="225"/>
      <c r="I39" s="221"/>
      <c r="J39" s="205" t="s">
        <v>266</v>
      </c>
      <c r="K39" s="619">
        <v>2100</v>
      </c>
      <c r="L39" s="206">
        <v>4200</v>
      </c>
      <c r="M39" s="583">
        <v>-2100</v>
      </c>
      <c r="N39" s="705">
        <v>-50</v>
      </c>
    </row>
    <row r="40" spans="1:14" ht="18.75" customHeight="1">
      <c r="A40" s="725"/>
      <c r="B40" s="219"/>
      <c r="C40" s="219"/>
      <c r="D40" s="219"/>
      <c r="E40" s="219"/>
      <c r="F40" s="219"/>
      <c r="G40" s="217"/>
      <c r="H40" s="225"/>
      <c r="I40" s="215"/>
      <c r="J40" s="205" t="s">
        <v>267</v>
      </c>
      <c r="K40" s="619">
        <v>20000</v>
      </c>
      <c r="L40" s="206">
        <v>20000</v>
      </c>
      <c r="M40" s="583">
        <v>0</v>
      </c>
      <c r="N40" s="705">
        <v>0</v>
      </c>
    </row>
    <row r="41" spans="1:14" ht="18.75" customHeight="1">
      <c r="A41" s="725"/>
      <c r="B41" s="146"/>
      <c r="C41" s="146"/>
      <c r="D41" s="146"/>
      <c r="E41" s="146"/>
      <c r="F41" s="146"/>
      <c r="G41" s="702"/>
      <c r="H41" s="228"/>
      <c r="I41" s="701" t="s">
        <v>257</v>
      </c>
      <c r="J41" s="204"/>
      <c r="K41" s="688">
        <v>10360</v>
      </c>
      <c r="L41" s="208">
        <v>9210</v>
      </c>
      <c r="M41" s="583">
        <v>1150</v>
      </c>
      <c r="N41" s="705">
        <v>12.48642779587405</v>
      </c>
    </row>
    <row r="42" spans="1:15" ht="18.75" customHeight="1">
      <c r="A42" s="725"/>
      <c r="B42" s="146"/>
      <c r="C42" s="146"/>
      <c r="D42" s="146"/>
      <c r="E42" s="146"/>
      <c r="F42" s="146"/>
      <c r="G42" s="702"/>
      <c r="H42" s="228"/>
      <c r="I42" s="703"/>
      <c r="J42" s="204" t="s">
        <v>271</v>
      </c>
      <c r="K42" s="688">
        <v>1620</v>
      </c>
      <c r="L42" s="208">
        <v>1620</v>
      </c>
      <c r="M42" s="583">
        <v>0</v>
      </c>
      <c r="N42" s="705">
        <v>0</v>
      </c>
      <c r="O42" s="299"/>
    </row>
    <row r="43" spans="1:14" ht="18.75" customHeight="1">
      <c r="A43" s="725"/>
      <c r="B43" s="146"/>
      <c r="C43" s="146"/>
      <c r="D43" s="146"/>
      <c r="E43" s="146"/>
      <c r="F43" s="146"/>
      <c r="G43" s="702"/>
      <c r="H43" s="228"/>
      <c r="I43" s="703"/>
      <c r="J43" s="204" t="s">
        <v>272</v>
      </c>
      <c r="K43" s="688">
        <v>4640</v>
      </c>
      <c r="L43" s="208">
        <v>3490</v>
      </c>
      <c r="M43" s="583">
        <v>1150</v>
      </c>
      <c r="N43" s="705">
        <v>32.95128939828081</v>
      </c>
    </row>
    <row r="44" spans="1:14" ht="18.75" customHeight="1">
      <c r="A44" s="725"/>
      <c r="B44" s="146"/>
      <c r="C44" s="146"/>
      <c r="D44" s="146"/>
      <c r="E44" s="146"/>
      <c r="F44" s="146"/>
      <c r="G44" s="702"/>
      <c r="H44" s="228"/>
      <c r="I44" s="703"/>
      <c r="J44" s="204" t="s">
        <v>273</v>
      </c>
      <c r="K44" s="688">
        <v>0</v>
      </c>
      <c r="L44" s="208">
        <v>0</v>
      </c>
      <c r="M44" s="583">
        <v>0</v>
      </c>
      <c r="N44" s="712" t="s">
        <v>504</v>
      </c>
    </row>
    <row r="45" spans="1:14" ht="18.75" customHeight="1">
      <c r="A45" s="725"/>
      <c r="B45" s="146"/>
      <c r="C45" s="146"/>
      <c r="D45" s="146"/>
      <c r="E45" s="146"/>
      <c r="F45" s="146"/>
      <c r="G45" s="702"/>
      <c r="H45" s="228"/>
      <c r="I45" s="703"/>
      <c r="J45" s="204" t="s">
        <v>274</v>
      </c>
      <c r="K45" s="688">
        <v>0</v>
      </c>
      <c r="L45" s="208">
        <v>0</v>
      </c>
      <c r="M45" s="583">
        <v>0</v>
      </c>
      <c r="N45" s="712" t="s">
        <v>504</v>
      </c>
    </row>
    <row r="46" spans="1:14" ht="18.75" customHeight="1">
      <c r="A46" s="725"/>
      <c r="B46" s="146"/>
      <c r="C46" s="146"/>
      <c r="D46" s="146"/>
      <c r="E46" s="146"/>
      <c r="F46" s="146"/>
      <c r="G46" s="702"/>
      <c r="H46" s="228"/>
      <c r="I46" s="703"/>
      <c r="J46" s="165" t="s">
        <v>275</v>
      </c>
      <c r="K46" s="689">
        <v>4100</v>
      </c>
      <c r="L46" s="295">
        <v>4100</v>
      </c>
      <c r="M46" s="583">
        <v>0</v>
      </c>
      <c r="N46" s="705">
        <v>0</v>
      </c>
    </row>
    <row r="47" spans="1:14" ht="18.75" customHeight="1">
      <c r="A47" s="725"/>
      <c r="B47" s="146"/>
      <c r="C47" s="146"/>
      <c r="D47" s="146"/>
      <c r="E47" s="146"/>
      <c r="F47" s="146"/>
      <c r="G47" s="702"/>
      <c r="H47" s="229" t="s">
        <v>304</v>
      </c>
      <c r="I47" s="204"/>
      <c r="J47" s="165"/>
      <c r="K47" s="690"/>
      <c r="L47" s="590"/>
      <c r="M47" s="583">
        <v>0</v>
      </c>
      <c r="N47" s="712" t="s">
        <v>504</v>
      </c>
    </row>
    <row r="48" spans="1:14" ht="18.75" customHeight="1">
      <c r="A48" s="725"/>
      <c r="B48" s="146"/>
      <c r="C48" s="146"/>
      <c r="D48" s="146"/>
      <c r="E48" s="146"/>
      <c r="F48" s="146"/>
      <c r="G48" s="702"/>
      <c r="H48" s="591"/>
      <c r="I48" s="165" t="s">
        <v>305</v>
      </c>
      <c r="J48" s="204"/>
      <c r="K48" s="688">
        <v>0</v>
      </c>
      <c r="L48" s="208">
        <v>0</v>
      </c>
      <c r="M48" s="583">
        <v>0</v>
      </c>
      <c r="N48" s="712" t="s">
        <v>504</v>
      </c>
    </row>
    <row r="49" spans="1:14" ht="18.75" customHeight="1">
      <c r="A49" s="725"/>
      <c r="B49" s="146"/>
      <c r="C49" s="146"/>
      <c r="D49" s="146"/>
      <c r="E49" s="146"/>
      <c r="F49" s="146"/>
      <c r="G49" s="702"/>
      <c r="H49" s="228"/>
      <c r="I49" s="146"/>
      <c r="J49" s="204" t="s">
        <v>306</v>
      </c>
      <c r="K49" s="688">
        <v>0</v>
      </c>
      <c r="L49" s="208">
        <v>0</v>
      </c>
      <c r="M49" s="583">
        <v>0</v>
      </c>
      <c r="N49" s="712" t="s">
        <v>504</v>
      </c>
    </row>
    <row r="50" spans="1:14" ht="18.75" customHeight="1">
      <c r="A50" s="725"/>
      <c r="B50" s="146"/>
      <c r="C50" s="146"/>
      <c r="D50" s="146"/>
      <c r="E50" s="146"/>
      <c r="F50" s="146"/>
      <c r="G50" s="702"/>
      <c r="H50" s="229" t="s">
        <v>182</v>
      </c>
      <c r="I50" s="204"/>
      <c r="J50" s="204"/>
      <c r="K50" s="691">
        <v>0</v>
      </c>
      <c r="L50" s="210">
        <v>0</v>
      </c>
      <c r="M50" s="583">
        <v>0</v>
      </c>
      <c r="N50" s="712" t="s">
        <v>504</v>
      </c>
    </row>
    <row r="51" spans="1:14" ht="18.75" customHeight="1">
      <c r="A51" s="725"/>
      <c r="B51" s="146"/>
      <c r="C51" s="146"/>
      <c r="D51" s="146"/>
      <c r="E51" s="146"/>
      <c r="F51" s="146"/>
      <c r="G51" s="702"/>
      <c r="H51" s="591"/>
      <c r="I51" s="165" t="s">
        <v>276</v>
      </c>
      <c r="J51" s="204"/>
      <c r="K51" s="688">
        <v>0</v>
      </c>
      <c r="L51" s="208">
        <v>0</v>
      </c>
      <c r="M51" s="583">
        <v>0</v>
      </c>
      <c r="N51" s="712" t="s">
        <v>504</v>
      </c>
    </row>
    <row r="52" spans="1:14" ht="18.75" customHeight="1">
      <c r="A52" s="725"/>
      <c r="B52" s="146"/>
      <c r="C52" s="146"/>
      <c r="D52" s="146"/>
      <c r="E52" s="146"/>
      <c r="F52" s="146"/>
      <c r="G52" s="702"/>
      <c r="H52" s="228"/>
      <c r="I52" s="146"/>
      <c r="J52" s="204" t="s">
        <v>277</v>
      </c>
      <c r="K52" s="688">
        <v>0</v>
      </c>
      <c r="L52" s="208">
        <v>0</v>
      </c>
      <c r="M52" s="583">
        <v>0</v>
      </c>
      <c r="N52" s="712" t="s">
        <v>504</v>
      </c>
    </row>
    <row r="53" spans="1:14" ht="18.75" customHeight="1">
      <c r="A53" s="725"/>
      <c r="B53" s="146"/>
      <c r="C53" s="146"/>
      <c r="D53" s="146"/>
      <c r="E53" s="146"/>
      <c r="F53" s="146"/>
      <c r="G53" s="702"/>
      <c r="H53" s="228"/>
      <c r="I53" s="213"/>
      <c r="J53" s="204" t="s">
        <v>278</v>
      </c>
      <c r="K53" s="688">
        <v>0</v>
      </c>
      <c r="L53" s="208">
        <v>0</v>
      </c>
      <c r="M53" s="583">
        <v>0</v>
      </c>
      <c r="N53" s="712" t="s">
        <v>504</v>
      </c>
    </row>
    <row r="54" spans="1:14" ht="18.75" customHeight="1">
      <c r="A54" s="725"/>
      <c r="B54" s="146"/>
      <c r="C54" s="146"/>
      <c r="D54" s="146"/>
      <c r="E54" s="146"/>
      <c r="F54" s="146"/>
      <c r="G54" s="702"/>
      <c r="H54" s="229" t="s">
        <v>183</v>
      </c>
      <c r="I54" s="702"/>
      <c r="J54" s="204"/>
      <c r="K54" s="691">
        <v>146</v>
      </c>
      <c r="L54" s="210">
        <v>163</v>
      </c>
      <c r="M54" s="583">
        <v>-17</v>
      </c>
      <c r="N54" s="705">
        <v>-10.429447852760731</v>
      </c>
    </row>
    <row r="55" spans="1:14" ht="18.75" customHeight="1">
      <c r="A55" s="725"/>
      <c r="B55" s="146"/>
      <c r="C55" s="146"/>
      <c r="D55" s="146"/>
      <c r="E55" s="146"/>
      <c r="F55" s="146"/>
      <c r="G55" s="702"/>
      <c r="H55" s="228"/>
      <c r="I55" s="165" t="s">
        <v>279</v>
      </c>
      <c r="J55" s="204"/>
      <c r="K55" s="688">
        <v>146</v>
      </c>
      <c r="L55" s="208">
        <v>163</v>
      </c>
      <c r="M55" s="583">
        <v>-17</v>
      </c>
      <c r="N55" s="705">
        <v>-10.429447852760731</v>
      </c>
    </row>
    <row r="56" spans="1:14" ht="18.75" customHeight="1">
      <c r="A56" s="725"/>
      <c r="B56" s="146"/>
      <c r="C56" s="146"/>
      <c r="D56" s="146"/>
      <c r="E56" s="146"/>
      <c r="F56" s="146"/>
      <c r="G56" s="702"/>
      <c r="H56" s="216"/>
      <c r="I56" s="586"/>
      <c r="J56" s="204" t="s">
        <v>279</v>
      </c>
      <c r="K56" s="688">
        <v>146</v>
      </c>
      <c r="L56" s="208">
        <v>163</v>
      </c>
      <c r="M56" s="583">
        <v>-17</v>
      </c>
      <c r="N56" s="705">
        <v>-10.429447852760731</v>
      </c>
    </row>
    <row r="57" spans="1:14" ht="18.75" customHeight="1">
      <c r="A57" s="725"/>
      <c r="B57" s="146"/>
      <c r="C57" s="146"/>
      <c r="D57" s="146"/>
      <c r="E57" s="146"/>
      <c r="F57" s="146"/>
      <c r="G57" s="702"/>
      <c r="H57" s="228" t="s">
        <v>280</v>
      </c>
      <c r="I57" s="204"/>
      <c r="J57" s="222"/>
      <c r="K57" s="691">
        <v>1000</v>
      </c>
      <c r="L57" s="210">
        <v>1000</v>
      </c>
      <c r="M57" s="583">
        <v>0</v>
      </c>
      <c r="N57" s="705">
        <v>0</v>
      </c>
    </row>
    <row r="58" spans="1:14" ht="18.75" customHeight="1">
      <c r="A58" s="725"/>
      <c r="B58" s="146"/>
      <c r="C58" s="146"/>
      <c r="D58" s="146"/>
      <c r="E58" s="146"/>
      <c r="F58" s="146"/>
      <c r="G58" s="702"/>
      <c r="H58" s="591"/>
      <c r="I58" s="204" t="s">
        <v>281</v>
      </c>
      <c r="J58" s="222"/>
      <c r="K58" s="688">
        <v>1000</v>
      </c>
      <c r="L58" s="208">
        <v>1000</v>
      </c>
      <c r="M58" s="583">
        <v>0</v>
      </c>
      <c r="N58" s="705">
        <v>0</v>
      </c>
    </row>
    <row r="59" spans="1:14" ht="18.75" customHeight="1" thickBot="1">
      <c r="A59" s="726"/>
      <c r="B59" s="232"/>
      <c r="C59" s="232"/>
      <c r="D59" s="232"/>
      <c r="E59" s="232"/>
      <c r="F59" s="232"/>
      <c r="G59" s="233"/>
      <c r="H59" s="592"/>
      <c r="I59" s="589"/>
      <c r="J59" s="593" t="s">
        <v>202</v>
      </c>
      <c r="K59" s="596">
        <v>1000</v>
      </c>
      <c r="L59" s="596">
        <v>1000</v>
      </c>
      <c r="M59" s="706">
        <v>0</v>
      </c>
      <c r="N59" s="707">
        <v>0</v>
      </c>
    </row>
    <row r="60" spans="1:14" ht="15" customHeight="1">
      <c r="A60" s="274"/>
      <c r="B60" s="274"/>
      <c r="C60" s="274"/>
      <c r="D60" s="685"/>
      <c r="E60" s="274"/>
      <c r="F60" s="685"/>
      <c r="G60" s="274"/>
      <c r="H60" s="274"/>
      <c r="I60" s="274"/>
      <c r="J60" s="536"/>
      <c r="K60" s="684"/>
      <c r="L60" s="727" t="s">
        <v>492</v>
      </c>
      <c r="M60" s="727"/>
      <c r="N60" s="727"/>
    </row>
  </sheetData>
  <mergeCells count="20">
    <mergeCell ref="A1:N1"/>
    <mergeCell ref="A6:C6"/>
    <mergeCell ref="H6:J6"/>
    <mergeCell ref="L2:N2"/>
    <mergeCell ref="D4:D5"/>
    <mergeCell ref="K4:K5"/>
    <mergeCell ref="A3:G3"/>
    <mergeCell ref="H3:N3"/>
    <mergeCell ref="A4:A5"/>
    <mergeCell ref="B4:B5"/>
    <mergeCell ref="C4:C5"/>
    <mergeCell ref="E4:E5"/>
    <mergeCell ref="F4:G4"/>
    <mergeCell ref="H4:H5"/>
    <mergeCell ref="I4:I5"/>
    <mergeCell ref="J4:J5"/>
    <mergeCell ref="L4:L5"/>
    <mergeCell ref="M4:N4"/>
    <mergeCell ref="A36:A59"/>
    <mergeCell ref="L60:N60"/>
  </mergeCells>
  <printOptions/>
  <pageMargins left="0.5905511811023623" right="0.1968503937007874" top="0.5511811023622047" bottom="0.5118110236220472" header="0.5118110236220472" footer="0.5118110236220472"/>
  <pageSetup horizontalDpi="600" verticalDpi="600" orientation="landscape" paperSize="9" scale="8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="60" workbookViewId="0" topLeftCell="A19">
      <selection activeCell="C49" sqref="C49"/>
    </sheetView>
  </sheetViews>
  <sheetFormatPr defaultColWidth="8.88671875" defaultRowHeight="13.5"/>
  <cols>
    <col min="1" max="1" width="8.88671875" style="296" customWidth="1"/>
    <col min="2" max="2" width="9.6640625" style="296" customWidth="1"/>
    <col min="3" max="3" width="10.77734375" style="296" customWidth="1"/>
    <col min="4" max="4" width="11.6640625" style="296" customWidth="1"/>
    <col min="5" max="5" width="10.6640625" style="296" customWidth="1"/>
    <col min="6" max="6" width="7.77734375" style="296" customWidth="1"/>
    <col min="7" max="7" width="5.10546875" style="296" customWidth="1"/>
    <col min="8" max="8" width="7.6640625" style="296" customWidth="1"/>
    <col min="9" max="9" width="8.10546875" style="296" customWidth="1"/>
    <col min="10" max="10" width="10.99609375" style="296" customWidth="1"/>
    <col min="11" max="11" width="11.88671875" style="296" customWidth="1"/>
    <col min="12" max="12" width="10.4453125" style="296" customWidth="1"/>
    <col min="13" max="13" width="8.3359375" style="296" customWidth="1"/>
    <col min="14" max="14" width="4.88671875" style="296" customWidth="1"/>
    <col min="15" max="16384" width="8.88671875" style="296" customWidth="1"/>
  </cols>
  <sheetData>
    <row r="1" spans="1:14" ht="27" customHeight="1">
      <c r="A1" s="728" t="s">
        <v>483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</row>
    <row r="2" spans="1:14" ht="15" customHeight="1" thickBo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733" t="s">
        <v>453</v>
      </c>
      <c r="L2" s="733"/>
      <c r="M2" s="733"/>
      <c r="N2" s="733"/>
    </row>
    <row r="3" spans="1:14" ht="19.5" customHeight="1" thickBot="1">
      <c r="A3" s="734" t="s">
        <v>454</v>
      </c>
      <c r="B3" s="735"/>
      <c r="C3" s="735"/>
      <c r="D3" s="735"/>
      <c r="E3" s="735"/>
      <c r="F3" s="735"/>
      <c r="G3" s="736"/>
      <c r="H3" s="735" t="s">
        <v>455</v>
      </c>
      <c r="I3" s="735"/>
      <c r="J3" s="735"/>
      <c r="K3" s="735"/>
      <c r="L3" s="735"/>
      <c r="M3" s="735"/>
      <c r="N3" s="737"/>
    </row>
    <row r="4" spans="1:14" ht="15" customHeight="1">
      <c r="A4" s="738" t="s">
        <v>0</v>
      </c>
      <c r="B4" s="740" t="s">
        <v>1</v>
      </c>
      <c r="C4" s="718" t="s">
        <v>2</v>
      </c>
      <c r="D4" s="740" t="s">
        <v>456</v>
      </c>
      <c r="E4" s="740" t="s">
        <v>457</v>
      </c>
      <c r="F4" s="722" t="s">
        <v>286</v>
      </c>
      <c r="G4" s="742"/>
      <c r="H4" s="738" t="s">
        <v>0</v>
      </c>
      <c r="I4" s="740" t="s">
        <v>1</v>
      </c>
      <c r="J4" s="718" t="s">
        <v>2</v>
      </c>
      <c r="K4" s="740" t="str">
        <f>D4</f>
        <v>예산액</v>
      </c>
      <c r="L4" s="740" t="str">
        <f>E4</f>
        <v>전년도예산액</v>
      </c>
      <c r="M4" s="722" t="s">
        <v>286</v>
      </c>
      <c r="N4" s="723"/>
    </row>
    <row r="5" spans="1:14" ht="15" customHeight="1" thickBot="1">
      <c r="A5" s="739"/>
      <c r="B5" s="741"/>
      <c r="C5" s="719"/>
      <c r="D5" s="741"/>
      <c r="E5" s="741"/>
      <c r="F5" s="605" t="s">
        <v>458</v>
      </c>
      <c r="G5" s="606" t="s">
        <v>459</v>
      </c>
      <c r="H5" s="743"/>
      <c r="I5" s="741"/>
      <c r="J5" s="719"/>
      <c r="K5" s="741"/>
      <c r="L5" s="741"/>
      <c r="M5" s="605" t="s">
        <v>458</v>
      </c>
      <c r="N5" s="607" t="s">
        <v>459</v>
      </c>
    </row>
    <row r="6" spans="1:17" ht="27.75" customHeight="1" thickBot="1">
      <c r="A6" s="828" t="s">
        <v>211</v>
      </c>
      <c r="B6" s="829"/>
      <c r="C6" s="830"/>
      <c r="D6" s="608">
        <f>SUM(D7,D10,D14,D18,D22,D25-0.4)</f>
        <v>729999.9000000001</v>
      </c>
      <c r="E6" s="608">
        <f>SUM(E7,E10,E14,E18,E22,E25)</f>
        <v>549199.78</v>
      </c>
      <c r="F6" s="608">
        <f aca="true" t="shared" si="0" ref="F6:F12">D6-E6</f>
        <v>180800.1200000001</v>
      </c>
      <c r="G6" s="609">
        <f aca="true" t="shared" si="1" ref="G6:G12">(D6/E6%)-100</f>
        <v>32.92064683638441</v>
      </c>
      <c r="H6" s="829" t="s">
        <v>211</v>
      </c>
      <c r="I6" s="829"/>
      <c r="J6" s="830"/>
      <c r="K6" s="608">
        <f>SUM(K7,K24,K29,K51,K58,K61,K54)</f>
        <v>730000.12</v>
      </c>
      <c r="L6" s="608">
        <f>SUM(L7,L24,L29,L51,L58,L61,L54)</f>
        <v>549200.1799999999</v>
      </c>
      <c r="M6" s="610">
        <f>K6-L6</f>
        <v>180799.94000000006</v>
      </c>
      <c r="N6" s="611">
        <f>(K6/L6%)-100</f>
        <v>32.92059008429314</v>
      </c>
      <c r="O6" s="296">
        <v>535000000</v>
      </c>
      <c r="P6" s="294">
        <v>535000000</v>
      </c>
      <c r="Q6" s="584">
        <f>D6-K6</f>
        <v>-0.219999999855645</v>
      </c>
    </row>
    <row r="7" spans="1:16" ht="16.5" customHeight="1">
      <c r="A7" s="230" t="s">
        <v>212</v>
      </c>
      <c r="B7" s="612"/>
      <c r="C7" s="560"/>
      <c r="D7" s="613">
        <f>D8</f>
        <v>0</v>
      </c>
      <c r="E7" s="613">
        <f>E8</f>
        <v>0</v>
      </c>
      <c r="F7" s="613">
        <f t="shared" si="0"/>
        <v>0</v>
      </c>
      <c r="G7" s="614"/>
      <c r="H7" s="581" t="s">
        <v>100</v>
      </c>
      <c r="I7" s="219"/>
      <c r="J7" s="581"/>
      <c r="K7" s="615">
        <f>SUM(K8,K15,K18)</f>
        <v>545097.12</v>
      </c>
      <c r="L7" s="615">
        <f>SUM(L8,L15,L18)</f>
        <v>431711.17999999993</v>
      </c>
      <c r="M7" s="616">
        <f>K7-L7</f>
        <v>113385.94000000006</v>
      </c>
      <c r="N7" s="617">
        <f>(K7/L7%)-100</f>
        <v>26.264304760418767</v>
      </c>
      <c r="O7" s="296">
        <v>448989550</v>
      </c>
      <c r="P7" s="337">
        <v>17010000</v>
      </c>
    </row>
    <row r="8" spans="1:16" ht="16.5" customHeight="1">
      <c r="A8" s="230"/>
      <c r="B8" s="218" t="s">
        <v>214</v>
      </c>
      <c r="C8" s="211"/>
      <c r="D8" s="206">
        <f>D9</f>
        <v>0</v>
      </c>
      <c r="E8" s="206">
        <f>E9</f>
        <v>0</v>
      </c>
      <c r="F8" s="583">
        <f t="shared" si="0"/>
        <v>0</v>
      </c>
      <c r="G8" s="618"/>
      <c r="H8" s="581"/>
      <c r="I8" s="218" t="s">
        <v>215</v>
      </c>
      <c r="J8" s="211"/>
      <c r="K8" s="206">
        <f>SUM(K9:K14)</f>
        <v>520737.12</v>
      </c>
      <c r="L8" s="206">
        <f>SUM(L9:L14)</f>
        <v>413451.17999999993</v>
      </c>
      <c r="M8" s="619">
        <f>K8-L8</f>
        <v>107285.94000000006</v>
      </c>
      <c r="N8" s="617">
        <f>(K8/L8%)-100</f>
        <v>25.948877446667368</v>
      </c>
      <c r="O8" s="296">
        <v>428289550</v>
      </c>
      <c r="P8" s="206">
        <v>17010000</v>
      </c>
    </row>
    <row r="9" spans="1:16" ht="16.5" customHeight="1">
      <c r="A9" s="212"/>
      <c r="B9" s="214"/>
      <c r="C9" s="211" t="s">
        <v>214</v>
      </c>
      <c r="D9" s="206">
        <f>'세입예산 (2)'!E8</f>
        <v>0</v>
      </c>
      <c r="E9" s="206">
        <f>'세입예산 (2)'!F9</f>
        <v>0</v>
      </c>
      <c r="F9" s="583">
        <f t="shared" si="0"/>
        <v>0</v>
      </c>
      <c r="G9" s="618"/>
      <c r="H9" s="581"/>
      <c r="I9" s="219"/>
      <c r="J9" s="211" t="s">
        <v>216</v>
      </c>
      <c r="K9" s="206">
        <f>'세출예산 (2)'!E7-0.4</f>
        <v>326951.6</v>
      </c>
      <c r="L9" s="206">
        <f>'세출예산 (2)'!F7</f>
        <v>245616</v>
      </c>
      <c r="M9" s="619">
        <f>K9-L9</f>
        <v>81335.59999999998</v>
      </c>
      <c r="N9" s="617">
        <f>(K9/L9%)-100</f>
        <v>33.114943651879344</v>
      </c>
      <c r="O9" s="296">
        <v>233455000</v>
      </c>
      <c r="P9" s="619">
        <v>17010000</v>
      </c>
    </row>
    <row r="10" spans="1:16" ht="16.5" customHeight="1">
      <c r="A10" s="231" t="s">
        <v>217</v>
      </c>
      <c r="B10" s="560"/>
      <c r="C10" s="205"/>
      <c r="D10" s="207">
        <f>D11</f>
        <v>701940.9900000001</v>
      </c>
      <c r="E10" s="207">
        <f>E11</f>
        <v>526552.47</v>
      </c>
      <c r="F10" s="613">
        <f>D10-E10-0.4</f>
        <v>175388.12000000014</v>
      </c>
      <c r="G10" s="614">
        <f t="shared" si="1"/>
        <v>33.308840047792415</v>
      </c>
      <c r="H10" s="581"/>
      <c r="I10" s="219"/>
      <c r="J10" s="211" t="s">
        <v>222</v>
      </c>
      <c r="K10" s="206">
        <f>'세출예산 (2)'!E25</f>
        <v>122411.75</v>
      </c>
      <c r="L10" s="206">
        <f>'세출예산 (2)'!F25</f>
        <v>102904.47</v>
      </c>
      <c r="M10" s="619">
        <f>K10-L10</f>
        <v>19507.28</v>
      </c>
      <c r="N10" s="617">
        <f>(K10/L10%)-100</f>
        <v>18.95668866473926</v>
      </c>
      <c r="O10" s="296">
        <v>21068000</v>
      </c>
      <c r="P10" s="207">
        <v>499892960</v>
      </c>
    </row>
    <row r="11" spans="1:16" ht="16.5" customHeight="1">
      <c r="A11" s="620"/>
      <c r="B11" s="218" t="s">
        <v>219</v>
      </c>
      <c r="C11" s="580"/>
      <c r="D11" s="206">
        <f>D12+D13</f>
        <v>701940.9900000001</v>
      </c>
      <c r="E11" s="206">
        <f>E12</f>
        <v>526552.47</v>
      </c>
      <c r="F11" s="583">
        <f t="shared" si="0"/>
        <v>175388.52000000014</v>
      </c>
      <c r="G11" s="618">
        <f t="shared" si="1"/>
        <v>33.308840047792415</v>
      </c>
      <c r="H11" s="581"/>
      <c r="I11" s="219"/>
      <c r="J11" s="211" t="s">
        <v>460</v>
      </c>
      <c r="K11" s="206">
        <f>'세출예산 (2)'!E22</f>
        <v>0</v>
      </c>
      <c r="L11" s="206">
        <f>'세출예산 (2)'!F22</f>
        <v>0</v>
      </c>
      <c r="M11" s="619">
        <f aca="true" t="shared" si="2" ref="M11:M60">K11-L11</f>
        <v>0</v>
      </c>
      <c r="N11" s="617"/>
      <c r="O11" s="296">
        <v>0</v>
      </c>
      <c r="P11" s="206">
        <v>499892960</v>
      </c>
    </row>
    <row r="12" spans="1:16" ht="16.5" customHeight="1">
      <c r="A12" s="620"/>
      <c r="B12" s="219"/>
      <c r="C12" s="580" t="s">
        <v>461</v>
      </c>
      <c r="D12" s="206">
        <f>'세입예산 (2)'!E12</f>
        <v>701940.9900000001</v>
      </c>
      <c r="E12" s="206">
        <f>'세입예산 (2)'!F12</f>
        <v>526552.47</v>
      </c>
      <c r="F12" s="583">
        <f t="shared" si="0"/>
        <v>175388.52000000014</v>
      </c>
      <c r="G12" s="618">
        <f t="shared" si="1"/>
        <v>33.308840047792415</v>
      </c>
      <c r="H12" s="581"/>
      <c r="I12" s="219"/>
      <c r="J12" s="211" t="s">
        <v>224</v>
      </c>
      <c r="K12" s="206">
        <f>'세출예산 (2)'!E46</f>
        <v>32966.93</v>
      </c>
      <c r="L12" s="206">
        <f>'세출예산 (2)'!F46</f>
        <v>30686.85</v>
      </c>
      <c r="M12" s="619">
        <f t="shared" si="2"/>
        <v>2280.0800000000017</v>
      </c>
      <c r="N12" s="617">
        <f aca="true" t="shared" si="3" ref="N12:N25">(K12/L12%)-100</f>
        <v>7.430153306709556</v>
      </c>
      <c r="O12" s="296">
        <v>110593440</v>
      </c>
      <c r="P12" s="619">
        <v>499892960</v>
      </c>
    </row>
    <row r="13" spans="1:16" ht="16.5" customHeight="1">
      <c r="A13" s="621"/>
      <c r="B13" s="214"/>
      <c r="C13" s="580" t="s">
        <v>462</v>
      </c>
      <c r="D13" s="206"/>
      <c r="E13" s="206"/>
      <c r="F13" s="583">
        <f>D13-E13</f>
        <v>0</v>
      </c>
      <c r="G13" s="618"/>
      <c r="H13" s="581"/>
      <c r="I13" s="219"/>
      <c r="J13" s="211" t="s">
        <v>226</v>
      </c>
      <c r="K13" s="206">
        <f>'세출예산 (2)'!E49</f>
        <v>38006.840000000004</v>
      </c>
      <c r="L13" s="206">
        <f>'세출예산 (2)'!F49</f>
        <v>33843.86</v>
      </c>
      <c r="M13" s="619">
        <f t="shared" si="2"/>
        <v>4162.980000000003</v>
      </c>
      <c r="N13" s="617">
        <f t="shared" si="3"/>
        <v>12.300547277999627</v>
      </c>
      <c r="O13" s="296">
        <v>29899620</v>
      </c>
      <c r="P13" s="619">
        <v>0</v>
      </c>
    </row>
    <row r="14" spans="1:16" ht="16.5" customHeight="1">
      <c r="A14" s="231" t="s">
        <v>62</v>
      </c>
      <c r="B14" s="217"/>
      <c r="C14" s="205"/>
      <c r="D14" s="207">
        <f>D15</f>
        <v>16000</v>
      </c>
      <c r="E14" s="207">
        <f>E15</f>
        <v>12000</v>
      </c>
      <c r="F14" s="613">
        <f aca="true" t="shared" si="4" ref="F14:F29">D14-E14</f>
        <v>4000</v>
      </c>
      <c r="G14" s="614">
        <f aca="true" t="shared" si="5" ref="G14:G20">(D14/E14%)-100</f>
        <v>33.33333333333334</v>
      </c>
      <c r="H14" s="581"/>
      <c r="I14" s="214"/>
      <c r="J14" s="211" t="s">
        <v>228</v>
      </c>
      <c r="K14" s="206">
        <f>'세출예산 (2)'!E60</f>
        <v>400</v>
      </c>
      <c r="L14" s="206">
        <f>'세출예산 (2)'!F60</f>
        <v>400</v>
      </c>
      <c r="M14" s="619">
        <f t="shared" si="2"/>
        <v>0</v>
      </c>
      <c r="N14" s="617">
        <f t="shared" si="3"/>
        <v>0</v>
      </c>
      <c r="O14" s="296">
        <v>32073490</v>
      </c>
      <c r="P14" s="619">
        <v>0</v>
      </c>
    </row>
    <row r="15" spans="1:16" ht="16.5" customHeight="1">
      <c r="A15" s="230"/>
      <c r="B15" s="220" t="s">
        <v>229</v>
      </c>
      <c r="C15" s="205"/>
      <c r="D15" s="206">
        <f>D16+D17</f>
        <v>16000</v>
      </c>
      <c r="E15" s="206">
        <f>E16+E17</f>
        <v>12000</v>
      </c>
      <c r="F15" s="583">
        <f t="shared" si="4"/>
        <v>4000</v>
      </c>
      <c r="G15" s="618">
        <f t="shared" si="5"/>
        <v>33.33333333333334</v>
      </c>
      <c r="H15" s="581"/>
      <c r="I15" s="218" t="s">
        <v>230</v>
      </c>
      <c r="J15" s="205"/>
      <c r="K15" s="206">
        <f>K16+K17</f>
        <v>800</v>
      </c>
      <c r="L15" s="206">
        <f>L17+L16</f>
        <v>800</v>
      </c>
      <c r="M15" s="619">
        <f t="shared" si="2"/>
        <v>0</v>
      </c>
      <c r="N15" s="617">
        <f t="shared" si="3"/>
        <v>0</v>
      </c>
      <c r="O15" s="296">
        <v>1200000</v>
      </c>
      <c r="P15" s="207">
        <v>7000000</v>
      </c>
    </row>
    <row r="16" spans="1:16" ht="16.5" customHeight="1">
      <c r="A16" s="230"/>
      <c r="B16" s="221"/>
      <c r="C16" s="205" t="s">
        <v>231</v>
      </c>
      <c r="D16" s="206">
        <f>'세입예산 (2)'!E56</f>
        <v>8000</v>
      </c>
      <c r="E16" s="206">
        <f>'세입예산 (2)'!F56</f>
        <v>6000</v>
      </c>
      <c r="F16" s="583">
        <f t="shared" si="4"/>
        <v>2000</v>
      </c>
      <c r="G16" s="618">
        <f t="shared" si="5"/>
        <v>33.33333333333334</v>
      </c>
      <c r="H16" s="581"/>
      <c r="I16" s="219"/>
      <c r="J16" s="205" t="s">
        <v>232</v>
      </c>
      <c r="K16" s="206">
        <v>200</v>
      </c>
      <c r="L16" s="206">
        <f>'세출예산 (2)'!F64</f>
        <v>200</v>
      </c>
      <c r="M16" s="619">
        <f t="shared" si="2"/>
        <v>0</v>
      </c>
      <c r="N16" s="617">
        <f t="shared" si="3"/>
        <v>0</v>
      </c>
      <c r="O16" s="296">
        <v>1650000</v>
      </c>
      <c r="P16" s="206">
        <v>7000000</v>
      </c>
    </row>
    <row r="17" spans="1:16" ht="16.5" customHeight="1">
      <c r="A17" s="212"/>
      <c r="B17" s="215"/>
      <c r="C17" s="205" t="s">
        <v>233</v>
      </c>
      <c r="D17" s="206">
        <f>'세입예산 (2)'!E59</f>
        <v>8000</v>
      </c>
      <c r="E17" s="206">
        <f>'세입예산 (2)'!F59</f>
        <v>6000</v>
      </c>
      <c r="F17" s="583">
        <f t="shared" si="4"/>
        <v>2000</v>
      </c>
      <c r="G17" s="618">
        <f t="shared" si="5"/>
        <v>33.33333333333334</v>
      </c>
      <c r="H17" s="581"/>
      <c r="I17" s="214"/>
      <c r="J17" s="205" t="s">
        <v>235</v>
      </c>
      <c r="K17" s="206">
        <v>600</v>
      </c>
      <c r="L17" s="206">
        <f>'세출예산 (2)'!F67</f>
        <v>600</v>
      </c>
      <c r="M17" s="619">
        <f t="shared" si="2"/>
        <v>0</v>
      </c>
      <c r="N17" s="617">
        <f t="shared" si="3"/>
        <v>0</v>
      </c>
      <c r="O17" s="296">
        <v>550000</v>
      </c>
      <c r="P17" s="619">
        <v>3000000</v>
      </c>
    </row>
    <row r="18" spans="1:16" ht="16.5" customHeight="1">
      <c r="A18" s="231" t="s">
        <v>70</v>
      </c>
      <c r="B18" s="217"/>
      <c r="C18" s="205"/>
      <c r="D18" s="207">
        <f>D19</f>
        <v>5000</v>
      </c>
      <c r="E18" s="207">
        <v>5000</v>
      </c>
      <c r="F18" s="583">
        <f t="shared" si="4"/>
        <v>0</v>
      </c>
      <c r="G18" s="614">
        <f t="shared" si="5"/>
        <v>0</v>
      </c>
      <c r="H18" s="581"/>
      <c r="I18" s="219" t="s">
        <v>237</v>
      </c>
      <c r="J18" s="205"/>
      <c r="K18" s="206">
        <f>SUM(K19:K23)</f>
        <v>23560</v>
      </c>
      <c r="L18" s="206">
        <f>SUM(L19:L23)</f>
        <v>17460</v>
      </c>
      <c r="M18" s="619">
        <f t="shared" si="2"/>
        <v>6100</v>
      </c>
      <c r="N18" s="617">
        <f t="shared" si="3"/>
        <v>34.93699885452463</v>
      </c>
      <c r="O18" s="296">
        <v>1100000</v>
      </c>
      <c r="P18" s="619">
        <v>4000000</v>
      </c>
    </row>
    <row r="19" spans="1:16" ht="15" customHeight="1">
      <c r="A19" s="620"/>
      <c r="B19" s="218" t="s">
        <v>244</v>
      </c>
      <c r="C19" s="580"/>
      <c r="D19" s="206">
        <f>D20</f>
        <v>5000</v>
      </c>
      <c r="E19" s="206">
        <v>5000</v>
      </c>
      <c r="F19" s="583">
        <f t="shared" si="4"/>
        <v>0</v>
      </c>
      <c r="G19" s="614">
        <f t="shared" si="5"/>
        <v>0</v>
      </c>
      <c r="H19" s="581"/>
      <c r="I19" s="219"/>
      <c r="J19" s="205" t="s">
        <v>239</v>
      </c>
      <c r="K19" s="206">
        <f>'세출예산 (2)'!E71</f>
        <v>600</v>
      </c>
      <c r="L19" s="206">
        <f>'세출예산 (2)'!F71</f>
        <v>600</v>
      </c>
      <c r="M19" s="619">
        <f t="shared" si="2"/>
        <v>0</v>
      </c>
      <c r="N19" s="617">
        <f t="shared" si="3"/>
        <v>0</v>
      </c>
      <c r="P19" s="619"/>
    </row>
    <row r="20" spans="1:16" ht="15" customHeight="1">
      <c r="A20" s="620"/>
      <c r="B20" s="219"/>
      <c r="C20" s="580" t="s">
        <v>246</v>
      </c>
      <c r="D20" s="206">
        <f>'세입예산 (2)'!E72</f>
        <v>5000</v>
      </c>
      <c r="E20" s="206">
        <f>'세입예산 (2)'!F72</f>
        <v>5000</v>
      </c>
      <c r="F20" s="583">
        <f t="shared" si="4"/>
        <v>0</v>
      </c>
      <c r="G20" s="614">
        <f t="shared" si="5"/>
        <v>0</v>
      </c>
      <c r="H20" s="581"/>
      <c r="I20" s="219"/>
      <c r="J20" s="205" t="s">
        <v>241</v>
      </c>
      <c r="K20" s="206">
        <f>'세출예산 (2)'!E74</f>
        <v>7200</v>
      </c>
      <c r="L20" s="206">
        <f>'세출예산 (2)'!F74</f>
        <v>5400</v>
      </c>
      <c r="M20" s="619">
        <f t="shared" si="2"/>
        <v>1800</v>
      </c>
      <c r="N20" s="617">
        <f t="shared" si="3"/>
        <v>33.33333333333334</v>
      </c>
      <c r="P20" s="619"/>
    </row>
    <row r="21" spans="1:16" ht="15" customHeight="1">
      <c r="A21" s="620"/>
      <c r="B21" s="214"/>
      <c r="C21" s="594" t="s">
        <v>463</v>
      </c>
      <c r="D21" s="300"/>
      <c r="E21" s="300"/>
      <c r="F21" s="583">
        <f t="shared" si="4"/>
        <v>0</v>
      </c>
      <c r="G21" s="622" t="s">
        <v>464</v>
      </c>
      <c r="H21" s="581"/>
      <c r="I21" s="219"/>
      <c r="J21" s="205" t="s">
        <v>243</v>
      </c>
      <c r="K21" s="206">
        <f>'세출예산 (2)'!E77</f>
        <v>3000</v>
      </c>
      <c r="L21" s="206">
        <f>'세출예산 (2)'!F77</f>
        <v>1800</v>
      </c>
      <c r="M21" s="619">
        <f t="shared" si="2"/>
        <v>1200</v>
      </c>
      <c r="N21" s="617">
        <f t="shared" si="3"/>
        <v>66.66666666666666</v>
      </c>
      <c r="P21" s="619"/>
    </row>
    <row r="22" spans="1:16" ht="15" customHeight="1">
      <c r="A22" s="231" t="s">
        <v>74</v>
      </c>
      <c r="B22" s="217"/>
      <c r="C22" s="205"/>
      <c r="D22" s="613">
        <f>D23</f>
        <v>0</v>
      </c>
      <c r="E22" s="613">
        <f>E23</f>
        <v>0</v>
      </c>
      <c r="F22" s="583">
        <f t="shared" si="4"/>
        <v>0</v>
      </c>
      <c r="G22" s="614"/>
      <c r="H22" s="581"/>
      <c r="I22" s="219"/>
      <c r="J22" s="205" t="s">
        <v>245</v>
      </c>
      <c r="K22" s="206">
        <f>'세출예산 (2)'!E81</f>
        <v>4360</v>
      </c>
      <c r="L22" s="206">
        <f>'세출예산 (2)'!F81</f>
        <v>3660</v>
      </c>
      <c r="M22" s="619">
        <f t="shared" si="2"/>
        <v>700</v>
      </c>
      <c r="N22" s="617">
        <f t="shared" si="3"/>
        <v>19.12568306010928</v>
      </c>
      <c r="P22" s="619"/>
    </row>
    <row r="23" spans="1:16" ht="18.75" customHeight="1">
      <c r="A23" s="230"/>
      <c r="B23" s="220" t="s">
        <v>250</v>
      </c>
      <c r="C23" s="205"/>
      <c r="D23" s="206">
        <f>D24</f>
        <v>0</v>
      </c>
      <c r="E23" s="206">
        <f>E24</f>
        <v>0</v>
      </c>
      <c r="F23" s="583">
        <f t="shared" si="4"/>
        <v>0</v>
      </c>
      <c r="G23" s="614"/>
      <c r="H23" s="581"/>
      <c r="I23" s="214"/>
      <c r="J23" s="205" t="s">
        <v>247</v>
      </c>
      <c r="K23" s="206">
        <f>'세출예산 (2)'!E88</f>
        <v>8400</v>
      </c>
      <c r="L23" s="206">
        <f>'세출예산 (2)'!F88</f>
        <v>6000</v>
      </c>
      <c r="M23" s="619">
        <f t="shared" si="2"/>
        <v>2400</v>
      </c>
      <c r="N23" s="617">
        <f t="shared" si="3"/>
        <v>40</v>
      </c>
      <c r="O23" s="296">
        <v>19050000</v>
      </c>
      <c r="P23" s="623">
        <v>0</v>
      </c>
    </row>
    <row r="24" spans="1:16" ht="18.75" customHeight="1">
      <c r="A24" s="230"/>
      <c r="B24" s="214"/>
      <c r="C24" s="205" t="s">
        <v>252</v>
      </c>
      <c r="D24" s="206">
        <f>'세입예산 (2)'!E78</f>
        <v>0</v>
      </c>
      <c r="E24" s="206">
        <f>'세입예산 (2)'!F78</f>
        <v>0</v>
      </c>
      <c r="F24" s="583">
        <f t="shared" si="4"/>
        <v>0</v>
      </c>
      <c r="G24" s="614"/>
      <c r="H24" s="831" t="s">
        <v>249</v>
      </c>
      <c r="I24" s="217"/>
      <c r="J24" s="205"/>
      <c r="K24" s="207">
        <f>K25</f>
        <v>8800</v>
      </c>
      <c r="L24" s="207">
        <f>L25</f>
        <v>5160</v>
      </c>
      <c r="M24" s="623">
        <f t="shared" si="2"/>
        <v>3640</v>
      </c>
      <c r="N24" s="617">
        <f t="shared" si="3"/>
        <v>70.54263565891472</v>
      </c>
      <c r="O24" s="296">
        <v>1650000</v>
      </c>
      <c r="P24" s="619">
        <v>0</v>
      </c>
    </row>
    <row r="25" spans="1:16" ht="18.75" customHeight="1">
      <c r="A25" s="231" t="s">
        <v>408</v>
      </c>
      <c r="B25" s="217"/>
      <c r="C25" s="205"/>
      <c r="D25" s="207">
        <f>D26</f>
        <v>7059.31</v>
      </c>
      <c r="E25" s="207">
        <f>E26</f>
        <v>5647.31</v>
      </c>
      <c r="F25" s="613">
        <f t="shared" si="4"/>
        <v>1412</v>
      </c>
      <c r="G25" s="614">
        <f>(D25/E25%)-100</f>
        <v>25.003054551636097</v>
      </c>
      <c r="H25" s="832"/>
      <c r="I25" s="220" t="s">
        <v>251</v>
      </c>
      <c r="J25" s="205"/>
      <c r="K25" s="206">
        <f>SUM(K26:K28)</f>
        <v>8800</v>
      </c>
      <c r="L25" s="206">
        <f>SUM(L26:L28)</f>
        <v>5160</v>
      </c>
      <c r="M25" s="619">
        <f t="shared" si="2"/>
        <v>3640</v>
      </c>
      <c r="N25" s="617">
        <f t="shared" si="3"/>
        <v>70.54263565891472</v>
      </c>
      <c r="O25" s="296">
        <v>5500000</v>
      </c>
      <c r="P25" s="619">
        <v>0</v>
      </c>
    </row>
    <row r="26" spans="1:16" ht="18.75" customHeight="1">
      <c r="A26" s="230"/>
      <c r="B26" s="218" t="s">
        <v>450</v>
      </c>
      <c r="C26" s="580"/>
      <c r="D26" s="206">
        <f>D27+D28+D29</f>
        <v>7059.31</v>
      </c>
      <c r="E26" s="206">
        <f>E27+E28+E29</f>
        <v>5647.31</v>
      </c>
      <c r="F26" s="583">
        <f t="shared" si="4"/>
        <v>1412</v>
      </c>
      <c r="G26" s="618">
        <f>(D26/E26%)-100</f>
        <v>25.003054551636097</v>
      </c>
      <c r="H26" s="594"/>
      <c r="I26" s="587"/>
      <c r="J26" s="205" t="s">
        <v>251</v>
      </c>
      <c r="K26" s="206">
        <f>'세출예산 (2)'!E96</f>
        <v>0</v>
      </c>
      <c r="L26" s="206">
        <f>'세출예산 (2)'!F96</f>
        <v>0</v>
      </c>
      <c r="M26" s="619">
        <f t="shared" si="2"/>
        <v>0</v>
      </c>
      <c r="N26" s="617"/>
      <c r="O26" s="296">
        <v>2200000</v>
      </c>
      <c r="P26" s="619">
        <v>0</v>
      </c>
    </row>
    <row r="27" spans="1:16" ht="18.75" customHeight="1">
      <c r="A27" s="230"/>
      <c r="B27" s="219"/>
      <c r="C27" s="205" t="s">
        <v>256</v>
      </c>
      <c r="D27" s="206">
        <f>'세입예산 (2)'!E92</f>
        <v>0</v>
      </c>
      <c r="E27" s="206">
        <f>'세입예산 (2)'!F92</f>
        <v>0</v>
      </c>
      <c r="F27" s="206">
        <f t="shared" si="4"/>
        <v>0</v>
      </c>
      <c r="G27" s="618"/>
      <c r="H27" s="225"/>
      <c r="I27" s="221"/>
      <c r="J27" s="205" t="s">
        <v>254</v>
      </c>
      <c r="K27" s="206">
        <f>'세출예산 (2)'!E99</f>
        <v>4000</v>
      </c>
      <c r="L27" s="206">
        <f>'세출예산 (2)'!F99</f>
        <v>1200</v>
      </c>
      <c r="M27" s="619">
        <f t="shared" si="2"/>
        <v>2800</v>
      </c>
      <c r="N27" s="617">
        <f aca="true" t="shared" si="6" ref="N27:N35">(K27/L27%)-100</f>
        <v>233.33333333333331</v>
      </c>
      <c r="O27" s="296">
        <v>3100000</v>
      </c>
      <c r="P27" s="623">
        <v>5000000</v>
      </c>
    </row>
    <row r="28" spans="1:16" ht="18.75" customHeight="1">
      <c r="A28" s="230"/>
      <c r="B28" s="219"/>
      <c r="C28" s="582" t="s">
        <v>258</v>
      </c>
      <c r="D28" s="583">
        <f>'세입예산 (2)'!E95</f>
        <v>119.31</v>
      </c>
      <c r="E28" s="583">
        <f>'세입예산 (2)'!F95</f>
        <v>107.31</v>
      </c>
      <c r="F28" s="583">
        <f t="shared" si="4"/>
        <v>12</v>
      </c>
      <c r="G28" s="618">
        <f>(D28/E28%)-100</f>
        <v>11.18255521386638</v>
      </c>
      <c r="H28" s="226"/>
      <c r="I28" s="215"/>
      <c r="J28" s="205" t="s">
        <v>255</v>
      </c>
      <c r="K28" s="206">
        <f>'세출예산 (2)'!E102</f>
        <v>4800</v>
      </c>
      <c r="L28" s="206">
        <f>'세출예산 (2)'!F102</f>
        <v>3960</v>
      </c>
      <c r="M28" s="619">
        <f t="shared" si="2"/>
        <v>840</v>
      </c>
      <c r="N28" s="617">
        <f t="shared" si="6"/>
        <v>21.212121212121204</v>
      </c>
      <c r="O28" s="296">
        <v>6600000</v>
      </c>
      <c r="P28" s="619">
        <v>5000000</v>
      </c>
    </row>
    <row r="29" spans="1:16" ht="18.75" customHeight="1">
      <c r="A29" s="212"/>
      <c r="B29" s="214"/>
      <c r="C29" s="580" t="s">
        <v>260</v>
      </c>
      <c r="D29" s="206">
        <f>'세입예산 (2)'!E98</f>
        <v>6940</v>
      </c>
      <c r="E29" s="206">
        <f>'세입예산 (2)'!F98</f>
        <v>5540</v>
      </c>
      <c r="F29" s="583">
        <f t="shared" si="4"/>
        <v>1400</v>
      </c>
      <c r="G29" s="618">
        <f>(D29/E29%)-100</f>
        <v>25.270758122743686</v>
      </c>
      <c r="H29" s="624" t="s">
        <v>206</v>
      </c>
      <c r="I29" s="205"/>
      <c r="J29" s="205"/>
      <c r="K29" s="207">
        <f>K30+K45</f>
        <v>174715</v>
      </c>
      <c r="L29" s="207">
        <f>L30+L45</f>
        <v>110995</v>
      </c>
      <c r="M29" s="623">
        <f t="shared" si="2"/>
        <v>63720</v>
      </c>
      <c r="N29" s="625">
        <f t="shared" si="6"/>
        <v>57.40799135096174</v>
      </c>
      <c r="O29" s="296">
        <v>1900000</v>
      </c>
      <c r="P29" s="619">
        <v>5000000</v>
      </c>
    </row>
    <row r="30" spans="1:16" ht="18.75" customHeight="1">
      <c r="A30" s="833"/>
      <c r="B30" s="626"/>
      <c r="C30" s="626"/>
      <c r="D30" s="626"/>
      <c r="E30" s="626"/>
      <c r="F30" s="626"/>
      <c r="G30" s="627"/>
      <c r="H30" s="577"/>
      <c r="I30" s="218" t="s">
        <v>237</v>
      </c>
      <c r="J30" s="582"/>
      <c r="K30" s="583">
        <f>SUM(K31:K41)</f>
        <v>166175</v>
      </c>
      <c r="L30" s="583">
        <f>SUM(L31:L41)</f>
        <v>105155</v>
      </c>
      <c r="M30" s="628">
        <f t="shared" si="2"/>
        <v>61020</v>
      </c>
      <c r="N30" s="617">
        <f t="shared" si="6"/>
        <v>58.02862441158291</v>
      </c>
      <c r="O30" s="296">
        <v>1900000</v>
      </c>
      <c r="P30" s="623">
        <v>0</v>
      </c>
    </row>
    <row r="31" spans="1:16" ht="18.75" customHeight="1" thickBot="1">
      <c r="A31" s="834"/>
      <c r="B31" s="588"/>
      <c r="C31" s="588"/>
      <c r="D31" s="588"/>
      <c r="E31" s="588"/>
      <c r="F31" s="588"/>
      <c r="G31" s="629"/>
      <c r="H31" s="630"/>
      <c r="I31" s="595"/>
      <c r="J31" s="578" t="s">
        <v>259</v>
      </c>
      <c r="K31" s="343">
        <f>'세출예산 (2)'!E110</f>
        <v>125025</v>
      </c>
      <c r="L31" s="343">
        <f>'세출예산 (2)'!F110</f>
        <v>72030</v>
      </c>
      <c r="M31" s="343">
        <f t="shared" si="2"/>
        <v>52995</v>
      </c>
      <c r="N31" s="631">
        <f t="shared" si="6"/>
        <v>73.5735110370679</v>
      </c>
      <c r="O31" s="296">
        <v>0</v>
      </c>
      <c r="P31" s="619">
        <v>0</v>
      </c>
    </row>
    <row r="32" spans="1:16" ht="18.75" customHeight="1">
      <c r="A32" s="835"/>
      <c r="B32" s="632"/>
      <c r="C32" s="632"/>
      <c r="D32" s="632"/>
      <c r="E32" s="633"/>
      <c r="F32" s="633"/>
      <c r="G32" s="634"/>
      <c r="H32" s="635"/>
      <c r="I32" s="632"/>
      <c r="J32" s="579" t="s">
        <v>261</v>
      </c>
      <c r="K32" s="346">
        <f>'세출예산 (2)'!E121</f>
        <v>6000</v>
      </c>
      <c r="L32" s="346">
        <f>'세출예산 (2)'!F121</f>
        <v>5400</v>
      </c>
      <c r="M32" s="636">
        <f t="shared" si="2"/>
        <v>600</v>
      </c>
      <c r="N32" s="637">
        <f t="shared" si="6"/>
        <v>11.111111111111114</v>
      </c>
      <c r="O32" s="296">
        <v>800000</v>
      </c>
      <c r="P32" s="619">
        <v>0</v>
      </c>
    </row>
    <row r="33" spans="1:16" ht="18.75" customHeight="1">
      <c r="A33" s="836"/>
      <c r="B33" s="587"/>
      <c r="C33" s="594"/>
      <c r="D33" s="587"/>
      <c r="E33" s="594"/>
      <c r="F33" s="587"/>
      <c r="G33" s="594"/>
      <c r="H33" s="225"/>
      <c r="I33" s="219"/>
      <c r="J33" s="582" t="s">
        <v>37</v>
      </c>
      <c r="K33" s="583">
        <f>'세출예산 (2)'!E124</f>
        <v>2750</v>
      </c>
      <c r="L33" s="583">
        <f>'세출예산 (2)'!F124</f>
        <v>1925</v>
      </c>
      <c r="M33" s="628">
        <f t="shared" si="2"/>
        <v>825</v>
      </c>
      <c r="N33" s="617">
        <f t="shared" si="6"/>
        <v>42.85714285714286</v>
      </c>
      <c r="O33" s="296">
        <v>1100000</v>
      </c>
      <c r="P33" s="619">
        <v>0</v>
      </c>
    </row>
    <row r="34" spans="1:16" ht="18.75" customHeight="1">
      <c r="A34" s="836"/>
      <c r="B34" s="626"/>
      <c r="C34" s="626"/>
      <c r="D34" s="626"/>
      <c r="E34" s="626"/>
      <c r="F34" s="626"/>
      <c r="G34" s="626"/>
      <c r="H34" s="591"/>
      <c r="I34" s="587"/>
      <c r="J34" s="582" t="s">
        <v>262</v>
      </c>
      <c r="K34" s="583">
        <f>'세출예산 (2)'!E128</f>
        <v>1200</v>
      </c>
      <c r="L34" s="583">
        <f>'세출예산 (2)'!F128</f>
        <v>1200</v>
      </c>
      <c r="M34" s="628">
        <f t="shared" si="2"/>
        <v>0</v>
      </c>
      <c r="N34" s="617">
        <f t="shared" si="6"/>
        <v>0</v>
      </c>
      <c r="O34" s="296">
        <v>83040930</v>
      </c>
      <c r="P34" s="207">
        <v>6097040</v>
      </c>
    </row>
    <row r="35" spans="1:16" ht="16.5" customHeight="1" hidden="1">
      <c r="A35" s="836"/>
      <c r="B35" s="587"/>
      <c r="C35" s="587"/>
      <c r="D35" s="587"/>
      <c r="E35" s="587"/>
      <c r="F35" s="626"/>
      <c r="G35" s="626"/>
      <c r="H35" s="577"/>
      <c r="I35" s="219"/>
      <c r="J35" s="582" t="s">
        <v>263</v>
      </c>
      <c r="K35" s="583"/>
      <c r="L35" s="583"/>
      <c r="M35" s="628">
        <f t="shared" si="2"/>
        <v>0</v>
      </c>
      <c r="N35" s="617" t="e">
        <f t="shared" si="6"/>
        <v>#DIV/0!</v>
      </c>
      <c r="O35" s="296">
        <v>69510930</v>
      </c>
      <c r="P35" s="206">
        <v>6097040</v>
      </c>
    </row>
    <row r="36" spans="1:16" ht="16.5" customHeight="1" hidden="1" thickBot="1">
      <c r="A36" s="836"/>
      <c r="B36" s="587"/>
      <c r="C36" s="587"/>
      <c r="D36" s="587"/>
      <c r="E36" s="587"/>
      <c r="F36" s="626"/>
      <c r="G36" s="626"/>
      <c r="H36" s="577"/>
      <c r="I36" s="219"/>
      <c r="J36" s="580" t="s">
        <v>264</v>
      </c>
      <c r="K36" s="206"/>
      <c r="L36" s="206"/>
      <c r="M36" s="619">
        <f t="shared" si="2"/>
        <v>0</v>
      </c>
      <c r="N36" s="617"/>
      <c r="O36" s="296">
        <v>42390930</v>
      </c>
      <c r="P36" s="638">
        <v>0</v>
      </c>
    </row>
    <row r="37" spans="1:16" ht="16.5" customHeight="1" hidden="1">
      <c r="A37" s="836"/>
      <c r="B37" s="587"/>
      <c r="C37" s="587"/>
      <c r="D37" s="587"/>
      <c r="E37" s="587"/>
      <c r="F37" s="626"/>
      <c r="G37" s="626"/>
      <c r="H37" s="577"/>
      <c r="I37" s="219"/>
      <c r="J37" s="580" t="s">
        <v>265</v>
      </c>
      <c r="K37" s="206"/>
      <c r="L37" s="206"/>
      <c r="M37" s="619">
        <f t="shared" si="2"/>
        <v>0</v>
      </c>
      <c r="N37" s="617"/>
      <c r="O37" s="296">
        <v>3300000</v>
      </c>
      <c r="P37" s="636">
        <v>297040</v>
      </c>
    </row>
    <row r="38" spans="1:16" ht="16.5" customHeight="1" hidden="1">
      <c r="A38" s="836"/>
      <c r="B38" s="587"/>
      <c r="C38" s="587"/>
      <c r="D38" s="587"/>
      <c r="E38" s="587"/>
      <c r="F38" s="626"/>
      <c r="G38" s="626"/>
      <c r="H38" s="577"/>
      <c r="I38" s="219"/>
      <c r="J38" s="580" t="s">
        <v>266</v>
      </c>
      <c r="K38" s="206"/>
      <c r="L38" s="206"/>
      <c r="M38" s="619">
        <f t="shared" si="2"/>
        <v>0</v>
      </c>
      <c r="N38" s="617"/>
      <c r="O38" s="296">
        <v>3220000</v>
      </c>
      <c r="P38" s="619">
        <v>5800000</v>
      </c>
    </row>
    <row r="39" spans="1:16" ht="16.5" customHeight="1">
      <c r="A39" s="836"/>
      <c r="B39" s="587"/>
      <c r="C39" s="587"/>
      <c r="D39" s="587"/>
      <c r="E39" s="587"/>
      <c r="F39" s="626"/>
      <c r="G39" s="626"/>
      <c r="H39" s="577"/>
      <c r="I39" s="219"/>
      <c r="J39" s="580" t="s">
        <v>263</v>
      </c>
      <c r="K39" s="206">
        <f>'세출예산 (2)'!E131</f>
        <v>800</v>
      </c>
      <c r="L39" s="206">
        <f>'세출예산 (2)'!F131</f>
        <v>800</v>
      </c>
      <c r="M39" s="619"/>
      <c r="N39" s="617"/>
      <c r="P39" s="680"/>
    </row>
    <row r="40" spans="1:16" ht="16.5" customHeight="1">
      <c r="A40" s="836"/>
      <c r="B40" s="587"/>
      <c r="C40" s="587"/>
      <c r="D40" s="587"/>
      <c r="E40" s="587"/>
      <c r="F40" s="626"/>
      <c r="G40" s="626"/>
      <c r="H40" s="577"/>
      <c r="I40" s="219"/>
      <c r="J40" s="580" t="s">
        <v>266</v>
      </c>
      <c r="K40" s="206">
        <f>'세출예산 (2)'!E140</f>
        <v>7200</v>
      </c>
      <c r="L40" s="206">
        <f>'세출예산 (2)'!F140</f>
        <v>4200</v>
      </c>
      <c r="M40" s="619"/>
      <c r="N40" s="617"/>
      <c r="P40" s="680"/>
    </row>
    <row r="41" spans="1:15" ht="16.5" customHeight="1">
      <c r="A41" s="836"/>
      <c r="B41" s="587"/>
      <c r="C41" s="587"/>
      <c r="D41" s="587"/>
      <c r="E41" s="587"/>
      <c r="F41" s="626"/>
      <c r="G41" s="626"/>
      <c r="H41" s="577"/>
      <c r="I41" s="214"/>
      <c r="J41" s="580" t="s">
        <v>267</v>
      </c>
      <c r="K41" s="206">
        <f>'세출예산 (2)'!E143</f>
        <v>23200</v>
      </c>
      <c r="L41" s="206">
        <f>'세출예산 (2)'!F143</f>
        <v>19600</v>
      </c>
      <c r="M41" s="619">
        <f t="shared" si="2"/>
        <v>3600</v>
      </c>
      <c r="N41" s="617"/>
      <c r="O41" s="296">
        <v>1100000</v>
      </c>
    </row>
    <row r="42" spans="1:15" ht="16.5" customHeight="1" hidden="1">
      <c r="A42" s="836"/>
      <c r="B42" s="219"/>
      <c r="C42" s="219"/>
      <c r="D42" s="219"/>
      <c r="E42" s="219"/>
      <c r="F42" s="219"/>
      <c r="G42" s="217"/>
      <c r="H42" s="225"/>
      <c r="I42" s="221"/>
      <c r="J42" s="205" t="s">
        <v>268</v>
      </c>
      <c r="K42" s="206">
        <f>'[1]세출예산'!E224</f>
        <v>0</v>
      </c>
      <c r="L42" s="206"/>
      <c r="M42" s="619">
        <f t="shared" si="2"/>
        <v>0</v>
      </c>
      <c r="N42" s="617"/>
      <c r="O42" s="296">
        <v>2000000</v>
      </c>
    </row>
    <row r="43" spans="1:15" ht="16.5" customHeight="1" hidden="1">
      <c r="A43" s="836"/>
      <c r="B43" s="219"/>
      <c r="C43" s="219"/>
      <c r="D43" s="219"/>
      <c r="E43" s="219"/>
      <c r="F43" s="219"/>
      <c r="G43" s="217"/>
      <c r="H43" s="225"/>
      <c r="I43" s="221"/>
      <c r="J43" s="205" t="s">
        <v>269</v>
      </c>
      <c r="K43" s="206">
        <f>'[1]세출예산'!E227</f>
        <v>0</v>
      </c>
      <c r="L43" s="206"/>
      <c r="M43" s="619">
        <f t="shared" si="2"/>
        <v>0</v>
      </c>
      <c r="N43" s="617"/>
      <c r="O43" s="296">
        <v>16900000</v>
      </c>
    </row>
    <row r="44" spans="1:15" ht="18.75" customHeight="1" hidden="1">
      <c r="A44" s="836"/>
      <c r="B44" s="219"/>
      <c r="C44" s="219"/>
      <c r="D44" s="219"/>
      <c r="E44" s="219"/>
      <c r="F44" s="219"/>
      <c r="G44" s="217"/>
      <c r="H44" s="225"/>
      <c r="I44" s="50"/>
      <c r="J44" s="204" t="s">
        <v>270</v>
      </c>
      <c r="K44" s="208">
        <f>'[1]세출예산'!E230</f>
        <v>0</v>
      </c>
      <c r="L44" s="208"/>
      <c r="M44" s="619">
        <f t="shared" si="2"/>
        <v>0</v>
      </c>
      <c r="N44" s="617"/>
      <c r="O44" s="296">
        <v>0</v>
      </c>
    </row>
    <row r="45" spans="1:15" ht="18.75" customHeight="1">
      <c r="A45" s="836"/>
      <c r="B45" s="219"/>
      <c r="C45" s="219"/>
      <c r="D45" s="219"/>
      <c r="E45" s="219"/>
      <c r="F45" s="219"/>
      <c r="G45" s="217"/>
      <c r="H45" s="228"/>
      <c r="I45" s="530" t="s">
        <v>257</v>
      </c>
      <c r="J45" s="204"/>
      <c r="K45" s="208">
        <f>SUM(K46:K50)</f>
        <v>8540</v>
      </c>
      <c r="L45" s="208">
        <f>SUM(L46:L50)</f>
        <v>5840</v>
      </c>
      <c r="M45" s="619">
        <f t="shared" si="2"/>
        <v>2700</v>
      </c>
      <c r="N45" s="617">
        <f aca="true" t="shared" si="7" ref="N45:N47">(K45/L45%)-100</f>
        <v>46.23287671232876</v>
      </c>
      <c r="O45" s="296">
        <v>0</v>
      </c>
    </row>
    <row r="46" spans="1:15" ht="18.75" customHeight="1">
      <c r="A46" s="836"/>
      <c r="B46" s="219"/>
      <c r="C46" s="219"/>
      <c r="D46" s="219"/>
      <c r="E46" s="219"/>
      <c r="F46" s="219"/>
      <c r="G46" s="217"/>
      <c r="H46" s="228"/>
      <c r="I46" s="559"/>
      <c r="J46" s="204" t="s">
        <v>490</v>
      </c>
      <c r="K46" s="208">
        <f>'세출예산 (2)'!E149</f>
        <v>1700</v>
      </c>
      <c r="L46" s="208">
        <f>'세출예산 (2)'!F149</f>
        <v>1300</v>
      </c>
      <c r="M46" s="619">
        <f t="shared" si="2"/>
        <v>400</v>
      </c>
      <c r="N46" s="617">
        <f t="shared" si="7"/>
        <v>30.769230769230774</v>
      </c>
      <c r="O46" s="296">
        <v>0</v>
      </c>
    </row>
    <row r="47" spans="1:15" ht="18.75" customHeight="1">
      <c r="A47" s="836"/>
      <c r="B47" s="219"/>
      <c r="C47" s="219"/>
      <c r="D47" s="219"/>
      <c r="E47" s="219"/>
      <c r="F47" s="219"/>
      <c r="G47" s="217"/>
      <c r="H47" s="228"/>
      <c r="I47" s="559"/>
      <c r="J47" s="204" t="s">
        <v>489</v>
      </c>
      <c r="K47" s="208">
        <f>'세출예산 (2)'!E153</f>
        <v>4600</v>
      </c>
      <c r="L47" s="208">
        <f>'세출예산 (2)'!F153</f>
        <v>2920</v>
      </c>
      <c r="M47" s="619">
        <f t="shared" si="2"/>
        <v>1680</v>
      </c>
      <c r="N47" s="617">
        <f t="shared" si="7"/>
        <v>57.53424657534248</v>
      </c>
      <c r="O47" s="296">
        <v>0</v>
      </c>
    </row>
    <row r="48" spans="1:15" ht="18.75" customHeight="1">
      <c r="A48" s="836"/>
      <c r="B48" s="219"/>
      <c r="C48" s="219"/>
      <c r="D48" s="219"/>
      <c r="E48" s="219"/>
      <c r="F48" s="219"/>
      <c r="G48" s="217"/>
      <c r="H48" s="228"/>
      <c r="I48" s="559"/>
      <c r="J48" s="204" t="s">
        <v>488</v>
      </c>
      <c r="K48" s="208">
        <f>'세출예산 (2)'!E158</f>
        <v>0</v>
      </c>
      <c r="L48" s="208">
        <f>'세출예산 (2)'!F158</f>
        <v>0</v>
      </c>
      <c r="M48" s="619">
        <f t="shared" si="2"/>
        <v>0</v>
      </c>
      <c r="N48" s="617"/>
      <c r="O48" s="296">
        <v>0</v>
      </c>
    </row>
    <row r="49" spans="1:14" ht="18.75" customHeight="1">
      <c r="A49" s="836"/>
      <c r="B49" s="219"/>
      <c r="C49" s="219"/>
      <c r="D49" s="219"/>
      <c r="E49" s="219"/>
      <c r="F49" s="219"/>
      <c r="G49" s="217"/>
      <c r="H49" s="228"/>
      <c r="I49" s="559"/>
      <c r="J49" s="204" t="s">
        <v>487</v>
      </c>
      <c r="K49" s="208">
        <f>'세출예산 (2)'!E160</f>
        <v>0</v>
      </c>
      <c r="L49" s="208">
        <f>'세출예산 (2)'!F160</f>
        <v>0</v>
      </c>
      <c r="M49" s="619">
        <f aca="true" t="shared" si="8" ref="M49">K49-L49</f>
        <v>0</v>
      </c>
      <c r="N49" s="617"/>
    </row>
    <row r="50" spans="1:15" ht="18.75" customHeight="1">
      <c r="A50" s="836"/>
      <c r="B50" s="219"/>
      <c r="C50" s="219"/>
      <c r="D50" s="219"/>
      <c r="E50" s="219"/>
      <c r="F50" s="219"/>
      <c r="G50" s="217"/>
      <c r="H50" s="228"/>
      <c r="I50" s="559"/>
      <c r="J50" s="204" t="s">
        <v>486</v>
      </c>
      <c r="K50" s="208">
        <v>2240</v>
      </c>
      <c r="L50" s="208">
        <v>1620</v>
      </c>
      <c r="M50" s="619">
        <f t="shared" si="2"/>
        <v>620</v>
      </c>
      <c r="N50" s="617"/>
      <c r="O50" s="296">
        <v>0</v>
      </c>
    </row>
    <row r="51" spans="1:15" ht="16.5" customHeight="1">
      <c r="A51" s="836"/>
      <c r="B51" s="146"/>
      <c r="C51" s="146"/>
      <c r="D51" s="146"/>
      <c r="E51" s="146"/>
      <c r="F51" s="146"/>
      <c r="G51" s="560"/>
      <c r="H51" s="229" t="s">
        <v>304</v>
      </c>
      <c r="I51" s="300"/>
      <c r="J51" s="300"/>
      <c r="K51" s="210">
        <f>K52+K53</f>
        <v>0</v>
      </c>
      <c r="L51" s="210"/>
      <c r="M51" s="619">
        <f t="shared" si="2"/>
        <v>0</v>
      </c>
      <c r="N51" s="617"/>
      <c r="O51" s="299">
        <v>1370000</v>
      </c>
    </row>
    <row r="52" spans="1:15" ht="16.5" customHeight="1">
      <c r="A52" s="836"/>
      <c r="B52" s="146"/>
      <c r="C52" s="146"/>
      <c r="D52" s="146"/>
      <c r="E52" s="146"/>
      <c r="F52" s="146"/>
      <c r="G52" s="560"/>
      <c r="H52" s="228"/>
      <c r="I52" s="165" t="s">
        <v>305</v>
      </c>
      <c r="J52" s="204"/>
      <c r="K52" s="208">
        <f>'[1]세출예산'!E318</f>
        <v>0</v>
      </c>
      <c r="L52" s="208"/>
      <c r="M52" s="619">
        <f t="shared" si="2"/>
        <v>0</v>
      </c>
      <c r="N52" s="617"/>
      <c r="O52" s="296">
        <v>5350000</v>
      </c>
    </row>
    <row r="53" spans="1:15" ht="16.5" customHeight="1">
      <c r="A53" s="836"/>
      <c r="B53" s="146"/>
      <c r="C53" s="146"/>
      <c r="D53" s="146"/>
      <c r="E53" s="146"/>
      <c r="F53" s="146"/>
      <c r="G53" s="560"/>
      <c r="H53" s="228"/>
      <c r="I53" s="213"/>
      <c r="J53" s="204" t="s">
        <v>305</v>
      </c>
      <c r="K53" s="208">
        <f>'[1]세출예산'!E321</f>
        <v>0</v>
      </c>
      <c r="L53" s="208"/>
      <c r="M53" s="619">
        <f t="shared" si="2"/>
        <v>0</v>
      </c>
      <c r="N53" s="617"/>
      <c r="O53" s="296">
        <v>2800000</v>
      </c>
    </row>
    <row r="54" spans="1:15" ht="16.5" customHeight="1">
      <c r="A54" s="836"/>
      <c r="B54" s="146"/>
      <c r="C54" s="146"/>
      <c r="D54" s="146"/>
      <c r="E54" s="146"/>
      <c r="F54" s="146"/>
      <c r="G54" s="560"/>
      <c r="H54" s="229" t="s">
        <v>182</v>
      </c>
      <c r="I54" s="594"/>
      <c r="J54" s="204"/>
      <c r="K54" s="208">
        <f>K55</f>
        <v>0</v>
      </c>
      <c r="L54" s="208"/>
      <c r="M54" s="619">
        <f t="shared" si="2"/>
        <v>0</v>
      </c>
      <c r="N54" s="617"/>
      <c r="O54" s="296">
        <v>1100000</v>
      </c>
    </row>
    <row r="55" spans="1:15" ht="16.5" customHeight="1">
      <c r="A55" s="836"/>
      <c r="B55" s="146"/>
      <c r="C55" s="146"/>
      <c r="D55" s="146"/>
      <c r="E55" s="146"/>
      <c r="F55" s="146"/>
      <c r="G55" s="560"/>
      <c r="H55" s="228"/>
      <c r="I55" s="165" t="s">
        <v>276</v>
      </c>
      <c r="J55" s="204"/>
      <c r="K55" s="208">
        <f>SUM(K56:K57)</f>
        <v>0</v>
      </c>
      <c r="L55" s="208"/>
      <c r="M55" s="619">
        <f t="shared" si="2"/>
        <v>0</v>
      </c>
      <c r="N55" s="617"/>
      <c r="O55" s="296">
        <v>2910000</v>
      </c>
    </row>
    <row r="56" spans="1:15" ht="18.75" customHeight="1">
      <c r="A56" s="836"/>
      <c r="B56" s="146"/>
      <c r="C56" s="146"/>
      <c r="D56" s="146"/>
      <c r="E56" s="146"/>
      <c r="F56" s="146"/>
      <c r="G56" s="560"/>
      <c r="H56" s="228"/>
      <c r="I56" s="594"/>
      <c r="J56" s="204" t="s">
        <v>277</v>
      </c>
      <c r="K56" s="208">
        <f>'[1]세출예산'!E321</f>
        <v>0</v>
      </c>
      <c r="L56" s="208"/>
      <c r="M56" s="619">
        <f t="shared" si="2"/>
        <v>0</v>
      </c>
      <c r="N56" s="617"/>
      <c r="O56" s="296">
        <v>0</v>
      </c>
    </row>
    <row r="57" spans="1:15" ht="18.75" customHeight="1">
      <c r="A57" s="836"/>
      <c r="B57" s="146"/>
      <c r="C57" s="146"/>
      <c r="D57" s="146"/>
      <c r="E57" s="146"/>
      <c r="F57" s="146"/>
      <c r="G57" s="560"/>
      <c r="H57" s="228"/>
      <c r="I57" s="213"/>
      <c r="J57" s="204" t="s">
        <v>278</v>
      </c>
      <c r="K57" s="208">
        <f>'[1]세출예산'!E324</f>
        <v>0</v>
      </c>
      <c r="L57" s="208"/>
      <c r="M57" s="619">
        <f t="shared" si="2"/>
        <v>0</v>
      </c>
      <c r="N57" s="617"/>
      <c r="O57" s="296">
        <v>0</v>
      </c>
    </row>
    <row r="58" spans="1:15" ht="18.75" customHeight="1">
      <c r="A58" s="836"/>
      <c r="B58" s="146"/>
      <c r="C58" s="146"/>
      <c r="D58" s="146"/>
      <c r="E58" s="146"/>
      <c r="F58" s="146"/>
      <c r="G58" s="560"/>
      <c r="H58" s="229" t="s">
        <v>183</v>
      </c>
      <c r="I58" s="560"/>
      <c r="J58" s="204"/>
      <c r="K58" s="210">
        <f>K59</f>
        <v>388</v>
      </c>
      <c r="L58" s="210">
        <f>L59</f>
        <v>334</v>
      </c>
      <c r="M58" s="623">
        <f t="shared" si="2"/>
        <v>54</v>
      </c>
      <c r="N58" s="617">
        <f aca="true" t="shared" si="9" ref="N58:N63">(K58/L58%)-100</f>
        <v>16.16766467065868</v>
      </c>
      <c r="O58" s="296">
        <v>0</v>
      </c>
    </row>
    <row r="59" spans="1:15" ht="18.75" customHeight="1">
      <c r="A59" s="836"/>
      <c r="B59" s="146"/>
      <c r="C59" s="146"/>
      <c r="D59" s="146"/>
      <c r="E59" s="146"/>
      <c r="F59" s="146"/>
      <c r="G59" s="560"/>
      <c r="H59" s="228"/>
      <c r="I59" s="165" t="s">
        <v>279</v>
      </c>
      <c r="J59" s="204"/>
      <c r="K59" s="208">
        <f>K60</f>
        <v>388</v>
      </c>
      <c r="L59" s="208">
        <f>L60</f>
        <v>334</v>
      </c>
      <c r="M59" s="619">
        <f t="shared" si="2"/>
        <v>54</v>
      </c>
      <c r="N59" s="617">
        <f t="shared" si="9"/>
        <v>16.16766467065868</v>
      </c>
      <c r="O59" s="296">
        <v>0</v>
      </c>
    </row>
    <row r="60" spans="1:14" ht="18.75" customHeight="1">
      <c r="A60" s="836"/>
      <c r="B60" s="146"/>
      <c r="C60" s="146"/>
      <c r="D60" s="146"/>
      <c r="E60" s="146"/>
      <c r="F60" s="146"/>
      <c r="G60" s="560"/>
      <c r="H60" s="228"/>
      <c r="I60" s="213"/>
      <c r="J60" s="204" t="s">
        <v>279</v>
      </c>
      <c r="K60" s="208">
        <v>388</v>
      </c>
      <c r="L60" s="208">
        <v>334</v>
      </c>
      <c r="M60" s="619">
        <f t="shared" si="2"/>
        <v>54</v>
      </c>
      <c r="N60" s="617">
        <f t="shared" si="9"/>
        <v>16.16766467065868</v>
      </c>
    </row>
    <row r="61" spans="1:15" ht="16.5" customHeight="1">
      <c r="A61" s="836"/>
      <c r="B61" s="146"/>
      <c r="C61" s="146"/>
      <c r="D61" s="146"/>
      <c r="E61" s="146"/>
      <c r="F61" s="146"/>
      <c r="G61" s="560"/>
      <c r="H61" s="229" t="s">
        <v>465</v>
      </c>
      <c r="I61" s="204"/>
      <c r="J61" s="222"/>
      <c r="K61" s="639">
        <f>K62</f>
        <v>1000</v>
      </c>
      <c r="L61" s="639">
        <f>L62</f>
        <v>1000</v>
      </c>
      <c r="M61" s="628">
        <f>K61-L61</f>
        <v>0</v>
      </c>
      <c r="N61" s="617">
        <f t="shared" si="9"/>
        <v>0</v>
      </c>
      <c r="O61" s="296">
        <v>69520</v>
      </c>
    </row>
    <row r="62" spans="1:15" ht="16.5" customHeight="1">
      <c r="A62" s="836"/>
      <c r="B62" s="146"/>
      <c r="C62" s="146"/>
      <c r="D62" s="146"/>
      <c r="E62" s="146"/>
      <c r="F62" s="146"/>
      <c r="G62" s="560"/>
      <c r="H62" s="228"/>
      <c r="I62" s="223" t="s">
        <v>202</v>
      </c>
      <c r="J62" s="222"/>
      <c r="K62" s="208">
        <f>K63</f>
        <v>1000</v>
      </c>
      <c r="L62" s="208">
        <f>L63</f>
        <v>1000</v>
      </c>
      <c r="M62" s="619">
        <f>K62-L62</f>
        <v>0</v>
      </c>
      <c r="N62" s="617">
        <f t="shared" si="9"/>
        <v>0</v>
      </c>
      <c r="O62" s="296">
        <v>69520</v>
      </c>
    </row>
    <row r="63" spans="1:14" ht="15" thickBot="1">
      <c r="A63" s="834"/>
      <c r="B63" s="232"/>
      <c r="C63" s="232"/>
      <c r="D63" s="232"/>
      <c r="E63" s="232"/>
      <c r="F63" s="232"/>
      <c r="G63" s="233"/>
      <c r="H63" s="234"/>
      <c r="I63" s="235"/>
      <c r="J63" s="236" t="s">
        <v>202</v>
      </c>
      <c r="K63" s="209">
        <f>'세출예산 (2)'!E189</f>
        <v>1000</v>
      </c>
      <c r="L63" s="209">
        <f>'세출예산 (2)'!F189</f>
        <v>1000</v>
      </c>
      <c r="M63" s="638">
        <f>K63-L63</f>
        <v>0</v>
      </c>
      <c r="N63" s="631">
        <f t="shared" si="9"/>
        <v>0</v>
      </c>
    </row>
    <row r="64" spans="8:14" ht="14.25">
      <c r="H64" s="536"/>
      <c r="I64" s="536"/>
      <c r="J64" s="536"/>
      <c r="K64" s="640" t="s">
        <v>328</v>
      </c>
      <c r="L64" s="640"/>
      <c r="M64" s="640"/>
      <c r="N64" s="640"/>
    </row>
  </sheetData>
  <mergeCells count="21">
    <mergeCell ref="M4:N4"/>
    <mergeCell ref="A1:N1"/>
    <mergeCell ref="K2:N2"/>
    <mergeCell ref="A3:G3"/>
    <mergeCell ref="H3:N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A6:C6"/>
    <mergeCell ref="H6:J6"/>
    <mergeCell ref="H24:H25"/>
    <mergeCell ref="A30:A31"/>
    <mergeCell ref="A32:A63"/>
  </mergeCells>
  <printOptions/>
  <pageMargins left="0.5905511811023623" right="0.1968503937007874" top="0.5511811023622047" bottom="0.2362204724409449" header="0.5118110236220472" footer="0.2755905511811024"/>
  <pageSetup horizontalDpi="600" verticalDpi="600" orientation="landscape" paperSize="9" scale="95" r:id="rId1"/>
  <headerFooter alignWithMargins="0">
    <oddFooter>&amp;C-&amp;P+81-</oddFooter>
  </headerFooter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0"/>
  <sheetViews>
    <sheetView view="pageBreakPreview" zoomScaleSheetLayoutView="100" zoomScalePageLayoutView="55" workbookViewId="0" topLeftCell="A1">
      <selection activeCell="F18" sqref="F18"/>
    </sheetView>
  </sheetViews>
  <sheetFormatPr defaultColWidth="8.88671875" defaultRowHeight="13.5"/>
  <cols>
    <col min="1" max="1" width="9.99609375" style="0" customWidth="1"/>
    <col min="2" max="2" width="10.21484375" style="0" customWidth="1"/>
    <col min="3" max="3" width="10.10546875" style="0" customWidth="1"/>
    <col min="4" max="4" width="9.99609375" style="0" customWidth="1"/>
    <col min="5" max="6" width="12.3359375" style="0" customWidth="1"/>
    <col min="7" max="7" width="10.10546875" style="283" customWidth="1"/>
    <col min="8" max="8" width="9.6640625" style="0" customWidth="1"/>
    <col min="9" max="9" width="16.5546875" style="0" customWidth="1"/>
    <col min="10" max="10" width="1.66796875" style="0" customWidth="1"/>
    <col min="11" max="11" width="1.99609375" style="0" customWidth="1"/>
    <col min="12" max="12" width="2.5546875" style="0" customWidth="1"/>
    <col min="13" max="13" width="2.10546875" style="0" customWidth="1"/>
    <col min="14" max="14" width="1.99609375" style="0" customWidth="1"/>
    <col min="15" max="15" width="2.6640625" style="0" customWidth="1"/>
    <col min="16" max="16" width="2.88671875" style="0" customWidth="1"/>
    <col min="17" max="17" width="2.4453125" style="0" customWidth="1"/>
    <col min="18" max="18" width="2.10546875" style="0" customWidth="1"/>
    <col min="19" max="19" width="2.5546875" style="0" customWidth="1"/>
    <col min="20" max="20" width="0.3359375" style="0" customWidth="1"/>
    <col min="21" max="21" width="2.21484375" style="0" customWidth="1"/>
    <col min="22" max="22" width="2.3359375" style="0" hidden="1" customWidth="1"/>
    <col min="23" max="23" width="2.5546875" style="0" hidden="1" customWidth="1"/>
    <col min="24" max="24" width="11.5546875" style="0" customWidth="1"/>
    <col min="25" max="25" width="13.77734375" style="0" bestFit="1" customWidth="1"/>
  </cols>
  <sheetData>
    <row r="1" spans="1:24" s="3" customFormat="1" ht="35.25" customHeight="1">
      <c r="A1" s="752" t="s">
        <v>484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</row>
    <row r="2" spans="1:24" s="3" customFormat="1" ht="18.75" customHeight="1" thickBot="1">
      <c r="A2" s="746"/>
      <c r="B2" s="746"/>
      <c r="C2" s="746"/>
      <c r="D2" s="526"/>
      <c r="E2" s="526"/>
      <c r="F2" s="526"/>
      <c r="G2" s="285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15" t="s">
        <v>449</v>
      </c>
    </row>
    <row r="3" spans="1:25" ht="29.25" customHeight="1" thickBot="1">
      <c r="A3" s="101" t="s">
        <v>0</v>
      </c>
      <c r="B3" s="525" t="s">
        <v>1</v>
      </c>
      <c r="C3" s="525" t="s">
        <v>2</v>
      </c>
      <c r="D3" s="525" t="s">
        <v>41</v>
      </c>
      <c r="E3" s="642" t="s">
        <v>466</v>
      </c>
      <c r="F3" s="643" t="s">
        <v>467</v>
      </c>
      <c r="G3" s="660" t="s">
        <v>468</v>
      </c>
      <c r="H3" s="748" t="s">
        <v>42</v>
      </c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9"/>
      <c r="Y3" s="163">
        <v>488000000</v>
      </c>
    </row>
    <row r="4" spans="1:25" s="4" customFormat="1" ht="33.75" customHeight="1" thickBot="1">
      <c r="A4" s="850" t="s">
        <v>50</v>
      </c>
      <c r="B4" s="851"/>
      <c r="C4" s="851"/>
      <c r="D4" s="852"/>
      <c r="E4" s="351">
        <f>SUM(E5,E10,E53,E61,E69,E77,E90)</f>
        <v>730000.3000000002</v>
      </c>
      <c r="F4" s="351">
        <v>549199.78</v>
      </c>
      <c r="G4" s="679">
        <f>E4-F4-1</f>
        <v>180799.52000000014</v>
      </c>
      <c r="H4" s="352"/>
      <c r="I4" s="353"/>
      <c r="J4" s="354"/>
      <c r="K4" s="355"/>
      <c r="L4" s="355"/>
      <c r="M4" s="354"/>
      <c r="N4" s="354"/>
      <c r="O4" s="354"/>
      <c r="P4" s="356"/>
      <c r="Q4" s="356"/>
      <c r="R4" s="354"/>
      <c r="S4" s="354"/>
      <c r="T4" s="354"/>
      <c r="U4" s="354"/>
      <c r="V4" s="354"/>
      <c r="W4" s="352"/>
      <c r="X4" s="357"/>
      <c r="Y4" s="164">
        <f>Y3-E4</f>
        <v>487269999.7</v>
      </c>
    </row>
    <row r="5" spans="1:24" ht="20.25" customHeight="1">
      <c r="A5" s="753" t="s">
        <v>60</v>
      </c>
      <c r="B5" s="347"/>
      <c r="C5" s="348"/>
      <c r="D5" s="348"/>
      <c r="E5" s="243">
        <f>SUM(E6)</f>
        <v>0</v>
      </c>
      <c r="F5" s="349">
        <v>0</v>
      </c>
      <c r="G5" s="657">
        <f>G6</f>
        <v>0</v>
      </c>
      <c r="H5" s="19"/>
      <c r="I5" s="20"/>
      <c r="J5" s="542"/>
      <c r="K5" s="21"/>
      <c r="L5" s="21"/>
      <c r="M5" s="542"/>
      <c r="N5" s="542"/>
      <c r="O5" s="542"/>
      <c r="P5" s="22"/>
      <c r="Q5" s="22"/>
      <c r="R5" s="542"/>
      <c r="S5" s="542"/>
      <c r="T5" s="542"/>
      <c r="U5" s="542"/>
      <c r="V5" s="542"/>
      <c r="W5" s="23"/>
      <c r="X5" s="350"/>
    </row>
    <row r="6" spans="1:26" ht="18.75" customHeight="1">
      <c r="A6" s="753"/>
      <c r="B6" s="750" t="s">
        <v>23</v>
      </c>
      <c r="C6" s="170"/>
      <c r="D6" s="166"/>
      <c r="E6" s="55">
        <f>SUM(E7)</f>
        <v>0</v>
      </c>
      <c r="F6" s="28">
        <v>0</v>
      </c>
      <c r="G6" s="656">
        <f>G7</f>
        <v>0</v>
      </c>
      <c r="H6" s="29"/>
      <c r="I6" s="30"/>
      <c r="J6" s="528"/>
      <c r="K6" s="31"/>
      <c r="L6" s="31"/>
      <c r="M6" s="528"/>
      <c r="N6" s="528"/>
      <c r="O6" s="528"/>
      <c r="P6" s="32"/>
      <c r="Q6" s="32"/>
      <c r="R6" s="528"/>
      <c r="S6" s="528"/>
      <c r="T6" s="528"/>
      <c r="U6" s="528"/>
      <c r="V6" s="528"/>
      <c r="W6" s="33"/>
      <c r="X6" s="96"/>
      <c r="Y6" s="271"/>
      <c r="Z6" s="283" t="e">
        <f>#REF!/E6</f>
        <v>#REF!</v>
      </c>
    </row>
    <row r="7" spans="1:24" ht="18.75" customHeight="1">
      <c r="A7" s="178"/>
      <c r="B7" s="751"/>
      <c r="C7" s="754" t="s">
        <v>24</v>
      </c>
      <c r="D7" s="556"/>
      <c r="E7" s="112">
        <f>E8</f>
        <v>0</v>
      </c>
      <c r="F7" s="38">
        <v>0</v>
      </c>
      <c r="G7" s="653">
        <f>G8</f>
        <v>0</v>
      </c>
      <c r="H7" s="853"/>
      <c r="I7" s="747"/>
      <c r="J7" s="747"/>
      <c r="K7" s="747"/>
      <c r="L7" s="45"/>
      <c r="M7" s="45"/>
      <c r="N7" s="45"/>
      <c r="O7" s="143"/>
      <c r="P7" s="45"/>
      <c r="Q7" s="45"/>
      <c r="R7" s="45"/>
      <c r="S7" s="45"/>
      <c r="T7" s="45"/>
      <c r="U7" s="45"/>
      <c r="V7" s="45"/>
      <c r="W7" s="45"/>
      <c r="X7" s="97"/>
    </row>
    <row r="8" spans="1:24" ht="18.75" customHeight="1">
      <c r="A8" s="178"/>
      <c r="B8" s="556"/>
      <c r="C8" s="755"/>
      <c r="D8" s="750" t="s">
        <v>43</v>
      </c>
      <c r="E8" s="49">
        <f>ROUNDDOWN(T8,-1)/1000</f>
        <v>0</v>
      </c>
      <c r="F8" s="47">
        <v>0</v>
      </c>
      <c r="G8" s="641">
        <f>E8-F8</f>
        <v>0</v>
      </c>
      <c r="H8" s="764" t="s">
        <v>91</v>
      </c>
      <c r="I8" s="765"/>
      <c r="J8" s="765"/>
      <c r="K8" s="765"/>
      <c r="L8" s="765"/>
      <c r="M8" s="765"/>
      <c r="N8" s="111"/>
      <c r="O8" s="153"/>
      <c r="P8" s="366"/>
      <c r="Q8" s="366"/>
      <c r="R8" s="366"/>
      <c r="S8" s="366"/>
      <c r="T8" s="366"/>
      <c r="U8" s="575"/>
      <c r="V8" s="762">
        <f>X9</f>
        <v>0</v>
      </c>
      <c r="W8" s="762"/>
      <c r="X8" s="763"/>
    </row>
    <row r="9" spans="1:24" ht="15.75" customHeight="1" thickBot="1">
      <c r="A9" s="180"/>
      <c r="B9" s="167"/>
      <c r="C9" s="181"/>
      <c r="D9" s="777"/>
      <c r="E9" s="114"/>
      <c r="F9" s="128"/>
      <c r="G9" s="287"/>
      <c r="H9" s="71"/>
      <c r="I9" s="42"/>
      <c r="J9" s="361"/>
      <c r="K9" s="766"/>
      <c r="L9" s="766"/>
      <c r="M9" s="361"/>
      <c r="N9" s="361"/>
      <c r="O9" s="361"/>
      <c r="P9" s="573"/>
      <c r="Q9" s="573"/>
      <c r="R9" s="361"/>
      <c r="S9" s="361"/>
      <c r="T9" s="361"/>
      <c r="U9" s="361"/>
      <c r="V9" s="361"/>
      <c r="W9" s="14"/>
      <c r="X9" s="100"/>
    </row>
    <row r="10" spans="1:24" ht="20.25" customHeight="1">
      <c r="A10" s="756" t="s">
        <v>61</v>
      </c>
      <c r="B10" s="309"/>
      <c r="C10" s="176"/>
      <c r="D10" s="176"/>
      <c r="E10" s="243">
        <f>SUM(E11)</f>
        <v>701940.9900000001</v>
      </c>
      <c r="F10" s="243">
        <v>526552.47</v>
      </c>
      <c r="G10" s="641">
        <f>G11</f>
        <v>175388.52000000002</v>
      </c>
      <c r="H10" s="77"/>
      <c r="I10" s="78"/>
      <c r="J10" s="79"/>
      <c r="K10" s="310"/>
      <c r="L10" s="310"/>
      <c r="M10" s="79"/>
      <c r="N10" s="79"/>
      <c r="O10" s="79"/>
      <c r="P10" s="133"/>
      <c r="Q10" s="133"/>
      <c r="R10" s="79"/>
      <c r="S10" s="79"/>
      <c r="T10" s="79"/>
      <c r="U10" s="79"/>
      <c r="V10" s="79"/>
      <c r="W10" s="82"/>
      <c r="X10" s="311"/>
    </row>
    <row r="11" spans="1:24" ht="18.75" customHeight="1">
      <c r="A11" s="757"/>
      <c r="B11" s="758" t="s">
        <v>44</v>
      </c>
      <c r="C11" s="169"/>
      <c r="D11" s="169"/>
      <c r="E11" s="112">
        <f>SUM(E12+E47+E50)</f>
        <v>701940.9900000001</v>
      </c>
      <c r="F11" s="112">
        <v>526552.47</v>
      </c>
      <c r="G11" s="641">
        <f>G12+G47+G50</f>
        <v>175388.52000000002</v>
      </c>
      <c r="H11" s="29"/>
      <c r="I11" s="30"/>
      <c r="J11" s="528"/>
      <c r="K11" s="31"/>
      <c r="L11" s="31"/>
      <c r="M11" s="528"/>
      <c r="N11" s="528"/>
      <c r="O11" s="528"/>
      <c r="P11" s="32"/>
      <c r="Q11" s="32"/>
      <c r="R11" s="528"/>
      <c r="S11" s="528"/>
      <c r="T11" s="528"/>
      <c r="U11" s="528"/>
      <c r="V11" s="528"/>
      <c r="W11" s="33"/>
      <c r="X11" s="98"/>
    </row>
    <row r="12" spans="1:24" ht="18.75" customHeight="1">
      <c r="A12" s="177"/>
      <c r="B12" s="759"/>
      <c r="C12" s="750" t="s">
        <v>45</v>
      </c>
      <c r="D12" s="169"/>
      <c r="E12" s="112">
        <f>SUM(E13,E24,E27,E30,E33,E35,E38,E41,E43,E45)</f>
        <v>701940.9900000001</v>
      </c>
      <c r="F12" s="112">
        <f>SUM(F13,F24,F27,F30,F33,F35,F38,F41,F43,F45)</f>
        <v>526552.47</v>
      </c>
      <c r="G12" s="641">
        <f>G13+G24+G27+G30+G33+G35+G38+G41+G43+G45</f>
        <v>175388.52000000002</v>
      </c>
      <c r="H12" s="848"/>
      <c r="I12" s="849"/>
      <c r="J12" s="528"/>
      <c r="K12" s="31"/>
      <c r="L12" s="31"/>
      <c r="M12" s="528"/>
      <c r="N12" s="528"/>
      <c r="O12" s="528"/>
      <c r="P12" s="32"/>
      <c r="Q12" s="32"/>
      <c r="R12" s="528"/>
      <c r="S12" s="528"/>
      <c r="T12" s="528"/>
      <c r="U12" s="528"/>
      <c r="V12" s="528"/>
      <c r="W12" s="33"/>
      <c r="X12" s="98"/>
    </row>
    <row r="13" spans="1:29" ht="22.5" customHeight="1">
      <c r="A13" s="178"/>
      <c r="B13" s="179"/>
      <c r="C13" s="751"/>
      <c r="D13" s="556" t="s">
        <v>317</v>
      </c>
      <c r="E13" s="49">
        <f>ROUNDDOWN(T13,-1)/1000</f>
        <v>495857.33</v>
      </c>
      <c r="F13" s="47">
        <v>382081.17</v>
      </c>
      <c r="G13" s="641">
        <f>E13-F13</f>
        <v>113776.16000000003</v>
      </c>
      <c r="H13" s="760" t="s">
        <v>491</v>
      </c>
      <c r="I13" s="761"/>
      <c r="J13" s="761"/>
      <c r="K13" s="761"/>
      <c r="L13" s="761"/>
      <c r="M13" s="761"/>
      <c r="N13" s="761"/>
      <c r="O13" s="761"/>
      <c r="P13" s="761"/>
      <c r="Q13" s="761"/>
      <c r="R13" s="153"/>
      <c r="S13" s="43"/>
      <c r="T13" s="768">
        <f>SUM(U14:X23)</f>
        <v>495857330</v>
      </c>
      <c r="U13" s="768"/>
      <c r="V13" s="768"/>
      <c r="W13" s="768"/>
      <c r="X13" s="769"/>
      <c r="Y13" s="6"/>
      <c r="Z13" s="6"/>
      <c r="AA13" s="6"/>
      <c r="AB13" s="6"/>
      <c r="AC13" s="9"/>
    </row>
    <row r="14" spans="1:29" ht="23.25" customHeight="1">
      <c r="A14" s="24"/>
      <c r="B14" s="546"/>
      <c r="C14" s="34"/>
      <c r="D14" s="34"/>
      <c r="E14" s="49"/>
      <c r="F14" s="42"/>
      <c r="G14" s="288"/>
      <c r="H14" s="148" t="s">
        <v>35</v>
      </c>
      <c r="I14" s="783" t="s">
        <v>409</v>
      </c>
      <c r="J14" s="783"/>
      <c r="K14" s="783"/>
      <c r="L14" s="783"/>
      <c r="M14" s="783"/>
      <c r="N14" s="783"/>
      <c r="O14" s="783"/>
      <c r="P14" s="783"/>
      <c r="Q14" s="783"/>
      <c r="R14" s="783"/>
      <c r="S14" s="783"/>
      <c r="T14" s="307">
        <f>S13</f>
        <v>0</v>
      </c>
      <c r="U14" s="837">
        <v>326952000</v>
      </c>
      <c r="V14" s="837"/>
      <c r="W14" s="837"/>
      <c r="X14" s="838"/>
      <c r="Y14" s="7"/>
      <c r="Z14" s="7"/>
      <c r="AA14" s="7"/>
      <c r="AB14" s="7"/>
      <c r="AC14" s="10" t="e">
        <f>I14*K14*P14</f>
        <v>#VALUE!</v>
      </c>
    </row>
    <row r="15" spans="1:29" ht="23.25" customHeight="1">
      <c r="A15" s="24"/>
      <c r="B15" s="546"/>
      <c r="C15" s="34"/>
      <c r="D15" s="34"/>
      <c r="E15" s="49"/>
      <c r="F15" s="42"/>
      <c r="G15" s="288"/>
      <c r="H15" s="148" t="s">
        <v>34</v>
      </c>
      <c r="I15" s="783" t="s">
        <v>482</v>
      </c>
      <c r="J15" s="783"/>
      <c r="K15" s="783"/>
      <c r="L15" s="783"/>
      <c r="M15" s="783"/>
      <c r="N15" s="783"/>
      <c r="O15" s="783"/>
      <c r="P15" s="783"/>
      <c r="Q15" s="783"/>
      <c r="R15" s="783"/>
      <c r="S15" s="783"/>
      <c r="T15" s="308"/>
      <c r="U15" s="837">
        <v>29767200</v>
      </c>
      <c r="V15" s="837"/>
      <c r="W15" s="837"/>
      <c r="X15" s="838"/>
      <c r="Y15" s="7"/>
      <c r="Z15" s="7"/>
      <c r="AA15" s="7"/>
      <c r="AB15" s="7"/>
      <c r="AC15" s="10"/>
    </row>
    <row r="16" spans="1:29" ht="23.25" customHeight="1">
      <c r="A16" s="24"/>
      <c r="B16" s="546"/>
      <c r="C16" s="34"/>
      <c r="D16" s="34"/>
      <c r="E16" s="49"/>
      <c r="F16" s="42"/>
      <c r="G16" s="288"/>
      <c r="H16" s="148" t="s">
        <v>25</v>
      </c>
      <c r="I16" s="783" t="s">
        <v>436</v>
      </c>
      <c r="J16" s="783"/>
      <c r="K16" s="783"/>
      <c r="L16" s="783"/>
      <c r="M16" s="783"/>
      <c r="N16" s="783"/>
      <c r="O16" s="783"/>
      <c r="P16" s="783"/>
      <c r="Q16" s="783"/>
      <c r="R16" s="783"/>
      <c r="S16" s="783"/>
      <c r="T16" s="308"/>
      <c r="U16" s="837">
        <v>62164520</v>
      </c>
      <c r="V16" s="837"/>
      <c r="W16" s="837"/>
      <c r="X16" s="838"/>
      <c r="Y16" s="7"/>
      <c r="Z16" s="7"/>
      <c r="AA16" s="7"/>
      <c r="AB16" s="7"/>
      <c r="AC16" s="10"/>
    </row>
    <row r="17" spans="1:29" ht="23.25" customHeight="1">
      <c r="A17" s="24"/>
      <c r="B17" s="546"/>
      <c r="C17" s="34"/>
      <c r="D17" s="34"/>
      <c r="E17" s="49"/>
      <c r="F17" s="42"/>
      <c r="G17" s="288"/>
      <c r="H17" s="148" t="s">
        <v>28</v>
      </c>
      <c r="I17" s="783" t="s">
        <v>435</v>
      </c>
      <c r="J17" s="783"/>
      <c r="K17" s="783"/>
      <c r="L17" s="783"/>
      <c r="M17" s="783"/>
      <c r="N17" s="783"/>
      <c r="O17" s="783"/>
      <c r="P17" s="783"/>
      <c r="Q17" s="783"/>
      <c r="R17" s="783"/>
      <c r="S17" s="783"/>
      <c r="T17" s="308"/>
      <c r="U17" s="837">
        <v>6000000</v>
      </c>
      <c r="V17" s="837"/>
      <c r="W17" s="837"/>
      <c r="X17" s="838"/>
      <c r="Y17" s="7"/>
      <c r="Z17" s="7"/>
      <c r="AA17" s="7"/>
      <c r="AB17" s="7"/>
      <c r="AC17" s="10" t="e">
        <f>#REF!*#REF!*#REF!</f>
        <v>#REF!</v>
      </c>
    </row>
    <row r="18" spans="1:29" ht="23.25" customHeight="1">
      <c r="A18" s="24"/>
      <c r="B18" s="546"/>
      <c r="C18" s="34"/>
      <c r="D18" s="34"/>
      <c r="E18" s="49"/>
      <c r="F18" s="42"/>
      <c r="G18" s="288"/>
      <c r="H18" s="148" t="s">
        <v>318</v>
      </c>
      <c r="I18" s="783" t="s">
        <v>414</v>
      </c>
      <c r="J18" s="783"/>
      <c r="K18" s="783"/>
      <c r="L18" s="783"/>
      <c r="M18" s="783"/>
      <c r="N18" s="783"/>
      <c r="O18" s="783"/>
      <c r="P18" s="783"/>
      <c r="Q18" s="783"/>
      <c r="R18" s="783"/>
      <c r="S18" s="783"/>
      <c r="T18" s="308"/>
      <c r="U18" s="837">
        <v>32966930</v>
      </c>
      <c r="V18" s="837"/>
      <c r="W18" s="837"/>
      <c r="X18" s="838"/>
      <c r="Y18" s="7"/>
      <c r="Z18" s="7"/>
      <c r="AA18" s="7"/>
      <c r="AB18" s="7"/>
      <c r="AC18" s="10"/>
    </row>
    <row r="19" spans="1:29" ht="23.25" customHeight="1">
      <c r="A19" s="24"/>
      <c r="B19" s="546"/>
      <c r="C19" s="34"/>
      <c r="D19" s="34"/>
      <c r="E19" s="49"/>
      <c r="F19" s="42"/>
      <c r="G19" s="288"/>
      <c r="H19" s="148" t="s">
        <v>10</v>
      </c>
      <c r="I19" s="783" t="s">
        <v>416</v>
      </c>
      <c r="J19" s="783"/>
      <c r="K19" s="783"/>
      <c r="L19" s="783"/>
      <c r="M19" s="783"/>
      <c r="N19" s="783"/>
      <c r="O19" s="783"/>
      <c r="P19" s="783"/>
      <c r="Q19" s="783"/>
      <c r="R19" s="783"/>
      <c r="S19" s="783"/>
      <c r="T19" s="308"/>
      <c r="U19" s="837">
        <v>12725180</v>
      </c>
      <c r="V19" s="837"/>
      <c r="W19" s="837"/>
      <c r="X19" s="838"/>
      <c r="Y19" s="7"/>
      <c r="Z19" s="7"/>
      <c r="AA19" s="7"/>
      <c r="AB19" s="7"/>
      <c r="AC19" s="10" t="e">
        <f>I19*K19*P19</f>
        <v>#VALUE!</v>
      </c>
    </row>
    <row r="20" spans="1:29" ht="23.25" customHeight="1">
      <c r="A20" s="24"/>
      <c r="B20" s="546"/>
      <c r="C20" s="34"/>
      <c r="D20" s="34"/>
      <c r="E20" s="49"/>
      <c r="F20" s="42"/>
      <c r="G20" s="288"/>
      <c r="H20" s="148" t="s">
        <v>29</v>
      </c>
      <c r="I20" s="783" t="s">
        <v>415</v>
      </c>
      <c r="J20" s="783"/>
      <c r="K20" s="783"/>
      <c r="L20" s="783"/>
      <c r="M20" s="783"/>
      <c r="N20" s="783"/>
      <c r="O20" s="783"/>
      <c r="P20" s="783"/>
      <c r="Q20" s="783"/>
      <c r="R20" s="783"/>
      <c r="S20" s="783"/>
      <c r="T20" s="308"/>
      <c r="U20" s="837">
        <v>833410</v>
      </c>
      <c r="V20" s="837"/>
      <c r="W20" s="837"/>
      <c r="X20" s="838"/>
      <c r="Y20" s="7"/>
      <c r="Z20" s="7"/>
      <c r="AA20" s="7"/>
      <c r="AB20" s="7"/>
      <c r="AC20" s="10"/>
    </row>
    <row r="21" spans="1:29" ht="23.25" customHeight="1">
      <c r="A21" s="24"/>
      <c r="B21" s="546"/>
      <c r="C21" s="34"/>
      <c r="D21" s="34"/>
      <c r="E21" s="49"/>
      <c r="F21" s="42"/>
      <c r="G21" s="288"/>
      <c r="H21" s="148" t="s">
        <v>319</v>
      </c>
      <c r="I21" s="786" t="s">
        <v>417</v>
      </c>
      <c r="J21" s="786"/>
      <c r="K21" s="786"/>
      <c r="L21" s="786"/>
      <c r="M21" s="786"/>
      <c r="N21" s="786"/>
      <c r="O21" s="786"/>
      <c r="P21" s="786"/>
      <c r="Q21" s="786"/>
      <c r="R21" s="786"/>
      <c r="S21" s="786"/>
      <c r="T21" s="308"/>
      <c r="U21" s="837">
        <v>17802090</v>
      </c>
      <c r="V21" s="837"/>
      <c r="W21" s="837"/>
      <c r="X21" s="838"/>
      <c r="Y21" s="7"/>
      <c r="Z21" s="7"/>
      <c r="AA21" s="7"/>
      <c r="AB21" s="7"/>
      <c r="AC21" s="10"/>
    </row>
    <row r="22" spans="1:29" ht="23.25" customHeight="1">
      <c r="A22" s="24"/>
      <c r="B22" s="546"/>
      <c r="C22" s="34"/>
      <c r="D22" s="34"/>
      <c r="E22" s="49"/>
      <c r="F22" s="42"/>
      <c r="G22" s="288"/>
      <c r="H22" s="148" t="s">
        <v>12</v>
      </c>
      <c r="I22" s="786" t="s">
        <v>418</v>
      </c>
      <c r="J22" s="786"/>
      <c r="K22" s="786"/>
      <c r="L22" s="786"/>
      <c r="M22" s="786"/>
      <c r="N22" s="786"/>
      <c r="O22" s="786"/>
      <c r="P22" s="786"/>
      <c r="Q22" s="786"/>
      <c r="R22" s="786"/>
      <c r="S22" s="786"/>
      <c r="T22" s="308"/>
      <c r="U22" s="837">
        <v>3085650</v>
      </c>
      <c r="V22" s="837"/>
      <c r="W22" s="837"/>
      <c r="X22" s="838"/>
      <c r="Y22" s="7"/>
      <c r="Z22" s="7"/>
      <c r="AA22" s="7"/>
      <c r="AB22" s="7"/>
      <c r="AC22" s="10"/>
    </row>
    <row r="23" spans="1:29" ht="23.25" customHeight="1">
      <c r="A23" s="24"/>
      <c r="B23" s="546"/>
      <c r="C23" s="34"/>
      <c r="D23" s="26"/>
      <c r="E23" s="55"/>
      <c r="F23" s="20"/>
      <c r="G23" s="289"/>
      <c r="H23" s="152" t="s">
        <v>11</v>
      </c>
      <c r="I23" s="787" t="s">
        <v>419</v>
      </c>
      <c r="J23" s="787"/>
      <c r="K23" s="787"/>
      <c r="L23" s="787"/>
      <c r="M23" s="787"/>
      <c r="N23" s="787"/>
      <c r="O23" s="787"/>
      <c r="P23" s="787"/>
      <c r="Q23" s="787"/>
      <c r="R23" s="787"/>
      <c r="S23" s="787"/>
      <c r="T23" s="477"/>
      <c r="U23" s="839">
        <v>3560350</v>
      </c>
      <c r="V23" s="839"/>
      <c r="W23" s="839"/>
      <c r="X23" s="840"/>
      <c r="Y23" s="7"/>
      <c r="Z23" s="7"/>
      <c r="AA23" s="7"/>
      <c r="AB23" s="7"/>
      <c r="AC23" s="10"/>
    </row>
    <row r="24" spans="1:29" ht="15.75" customHeight="1">
      <c r="A24" s="24"/>
      <c r="B24" s="546"/>
      <c r="C24" s="34"/>
      <c r="D24" s="750" t="s">
        <v>410</v>
      </c>
      <c r="E24" s="47">
        <f>ROUNDDOWN(X24,-1)/1000</f>
        <v>21120</v>
      </c>
      <c r="F24" s="69">
        <v>21120</v>
      </c>
      <c r="G24" s="647">
        <f>E24-F24</f>
        <v>0</v>
      </c>
      <c r="H24" s="784" t="s">
        <v>411</v>
      </c>
      <c r="I24" s="785"/>
      <c r="J24" s="785"/>
      <c r="K24" s="785"/>
      <c r="L24" s="785"/>
      <c r="M24" s="785"/>
      <c r="N24" s="785"/>
      <c r="O24" s="785"/>
      <c r="P24" s="574"/>
      <c r="Q24" s="788"/>
      <c r="R24" s="788"/>
      <c r="S24" s="788"/>
      <c r="T24" s="788"/>
      <c r="U24" s="788"/>
      <c r="V24" s="574"/>
      <c r="W24" s="48"/>
      <c r="X24" s="59">
        <f>SUM(X25:X26)</f>
        <v>21120000</v>
      </c>
      <c r="Y24" s="7"/>
      <c r="Z24" s="7"/>
      <c r="AA24" s="7"/>
      <c r="AB24" s="7"/>
      <c r="AC24" s="476"/>
    </row>
    <row r="25" spans="1:29" ht="15.75" customHeight="1">
      <c r="A25" s="24"/>
      <c r="B25" s="546"/>
      <c r="C25" s="34"/>
      <c r="D25" s="751"/>
      <c r="E25" s="49"/>
      <c r="F25" s="42"/>
      <c r="G25" s="286"/>
      <c r="H25" s="478" t="s">
        <v>412</v>
      </c>
      <c r="I25" s="42">
        <v>170000</v>
      </c>
      <c r="J25" s="361" t="s">
        <v>3</v>
      </c>
      <c r="K25" s="766">
        <v>10</v>
      </c>
      <c r="L25" s="766"/>
      <c r="M25" s="361" t="s">
        <v>5</v>
      </c>
      <c r="N25" s="361" t="s">
        <v>3</v>
      </c>
      <c r="O25" s="767">
        <v>12</v>
      </c>
      <c r="P25" s="767"/>
      <c r="Q25" s="573"/>
      <c r="R25" s="361" t="s">
        <v>6</v>
      </c>
      <c r="S25" s="361"/>
      <c r="T25" s="361"/>
      <c r="U25" s="361" t="s">
        <v>4</v>
      </c>
      <c r="V25" s="361"/>
      <c r="W25" s="14"/>
      <c r="X25" s="100">
        <f>I25*K25*O25</f>
        <v>20400000</v>
      </c>
      <c r="Y25" s="7"/>
      <c r="Z25" s="7"/>
      <c r="AA25" s="7"/>
      <c r="AB25" s="7"/>
      <c r="AC25" s="476"/>
    </row>
    <row r="26" spans="1:29" ht="15.75" customHeight="1">
      <c r="A26" s="24"/>
      <c r="B26" s="546"/>
      <c r="C26" s="34"/>
      <c r="D26" s="552"/>
      <c r="E26" s="49"/>
      <c r="F26" s="42"/>
      <c r="G26" s="286"/>
      <c r="H26" s="478" t="s">
        <v>413</v>
      </c>
      <c r="I26" s="42">
        <v>120000</v>
      </c>
      <c r="J26" s="361" t="s">
        <v>3</v>
      </c>
      <c r="K26" s="766">
        <v>2</v>
      </c>
      <c r="L26" s="766"/>
      <c r="M26" s="361" t="s">
        <v>5</v>
      </c>
      <c r="N26" s="361" t="s">
        <v>3</v>
      </c>
      <c r="O26" s="361"/>
      <c r="P26" s="573">
        <v>3</v>
      </c>
      <c r="Q26" s="573"/>
      <c r="R26" s="361" t="s">
        <v>6</v>
      </c>
      <c r="S26" s="361"/>
      <c r="T26" s="361"/>
      <c r="U26" s="361" t="s">
        <v>4</v>
      </c>
      <c r="V26" s="361"/>
      <c r="W26" s="14"/>
      <c r="X26" s="100">
        <f>I26*K26*P26</f>
        <v>720000</v>
      </c>
      <c r="Y26" s="7"/>
      <c r="Z26" s="7"/>
      <c r="AA26" s="7"/>
      <c r="AB26" s="7"/>
      <c r="AC26" s="476"/>
    </row>
    <row r="27" spans="1:24" ht="15.75" customHeight="1">
      <c r="A27" s="24"/>
      <c r="B27" s="546"/>
      <c r="C27" s="34"/>
      <c r="D27" s="522" t="s">
        <v>420</v>
      </c>
      <c r="E27" s="47">
        <f>Q27/1000</f>
        <v>44730</v>
      </c>
      <c r="F27" s="69">
        <v>31311</v>
      </c>
      <c r="G27" s="647">
        <f>E27-F27</f>
        <v>13419</v>
      </c>
      <c r="H27" s="784" t="s">
        <v>290</v>
      </c>
      <c r="I27" s="785"/>
      <c r="J27" s="785"/>
      <c r="K27" s="785"/>
      <c r="L27" s="785"/>
      <c r="M27" s="785"/>
      <c r="N27" s="785"/>
      <c r="O27" s="785"/>
      <c r="P27" s="574"/>
      <c r="Q27" s="788">
        <f>SUM(X28:X29)</f>
        <v>44730000</v>
      </c>
      <c r="R27" s="788"/>
      <c r="S27" s="788"/>
      <c r="T27" s="788"/>
      <c r="U27" s="788"/>
      <c r="V27" s="788"/>
      <c r="W27" s="788"/>
      <c r="X27" s="846"/>
    </row>
    <row r="28" spans="1:24" ht="15.75" customHeight="1">
      <c r="A28" s="24"/>
      <c r="B28" s="546"/>
      <c r="C28" s="34"/>
      <c r="D28" s="521"/>
      <c r="E28" s="49"/>
      <c r="F28" s="42"/>
      <c r="G28" s="288"/>
      <c r="H28" s="478" t="s">
        <v>444</v>
      </c>
      <c r="I28" s="42">
        <v>894600</v>
      </c>
      <c r="J28" s="361" t="s">
        <v>3</v>
      </c>
      <c r="K28" s="766">
        <v>50</v>
      </c>
      <c r="L28" s="766"/>
      <c r="M28" s="361" t="s">
        <v>5</v>
      </c>
      <c r="N28" s="361" t="s">
        <v>3</v>
      </c>
      <c r="O28" s="767">
        <v>1</v>
      </c>
      <c r="P28" s="767"/>
      <c r="Q28" s="573"/>
      <c r="R28" s="361" t="s">
        <v>7</v>
      </c>
      <c r="S28" s="361"/>
      <c r="T28" s="361"/>
      <c r="U28" s="361" t="s">
        <v>4</v>
      </c>
      <c r="V28" s="361"/>
      <c r="W28" s="14"/>
      <c r="X28" s="100">
        <f>I28*K28*O28</f>
        <v>44730000</v>
      </c>
    </row>
    <row r="29" spans="1:24" ht="15.75" customHeight="1" thickBot="1">
      <c r="A29" s="72"/>
      <c r="B29" s="186"/>
      <c r="C29" s="113"/>
      <c r="D29" s="523"/>
      <c r="E29" s="114"/>
      <c r="F29" s="115"/>
      <c r="G29" s="287"/>
      <c r="H29" s="520" t="s">
        <v>445</v>
      </c>
      <c r="I29" s="115">
        <v>447300</v>
      </c>
      <c r="J29" s="537" t="s">
        <v>3</v>
      </c>
      <c r="K29" s="847"/>
      <c r="L29" s="847"/>
      <c r="M29" s="537" t="s">
        <v>5</v>
      </c>
      <c r="N29" s="537" t="s">
        <v>3</v>
      </c>
      <c r="O29" s="537"/>
      <c r="P29" s="156">
        <v>1</v>
      </c>
      <c r="Q29" s="156"/>
      <c r="R29" s="537" t="s">
        <v>7</v>
      </c>
      <c r="S29" s="537"/>
      <c r="T29" s="537"/>
      <c r="U29" s="537" t="s">
        <v>4</v>
      </c>
      <c r="V29" s="537"/>
      <c r="W29" s="86"/>
      <c r="X29" s="519">
        <f>I29*K29*P29</f>
        <v>0</v>
      </c>
    </row>
    <row r="30" spans="1:24" ht="15.75" customHeight="1">
      <c r="A30" s="797" t="str">
        <f>A10</f>
        <v>04.경상보조금수입</v>
      </c>
      <c r="B30" s="779" t="str">
        <f>B11</f>
        <v>41.경상보조금수입</v>
      </c>
      <c r="C30" s="779" t="str">
        <f>C12</f>
        <v>411.경상보조금수입</v>
      </c>
      <c r="D30" s="779" t="s">
        <v>421</v>
      </c>
      <c r="E30" s="264">
        <f>X30/1000</f>
        <v>6000</v>
      </c>
      <c r="F30" s="130">
        <v>4200</v>
      </c>
      <c r="G30" s="647">
        <f>E30-F30</f>
        <v>1800</v>
      </c>
      <c r="H30" s="844" t="s">
        <v>446</v>
      </c>
      <c r="I30" s="821"/>
      <c r="J30" s="821"/>
      <c r="K30" s="821"/>
      <c r="L30" s="821"/>
      <c r="M30" s="821"/>
      <c r="N30" s="821"/>
      <c r="O30" s="821"/>
      <c r="P30" s="131"/>
      <c r="Q30" s="845"/>
      <c r="R30" s="845"/>
      <c r="S30" s="845"/>
      <c r="T30" s="845"/>
      <c r="U30" s="845"/>
      <c r="V30" s="131"/>
      <c r="W30" s="132"/>
      <c r="X30" s="195">
        <f>SUM(X31:X32)</f>
        <v>6000000</v>
      </c>
    </row>
    <row r="31" spans="1:24" ht="15.75" customHeight="1">
      <c r="A31" s="798"/>
      <c r="B31" s="751"/>
      <c r="C31" s="751"/>
      <c r="D31" s="751"/>
      <c r="E31" s="49"/>
      <c r="F31" s="42"/>
      <c r="G31" s="286"/>
      <c r="H31" s="478" t="s">
        <v>444</v>
      </c>
      <c r="I31" s="42">
        <v>120000</v>
      </c>
      <c r="J31" s="361" t="s">
        <v>3</v>
      </c>
      <c r="K31" s="766">
        <v>50</v>
      </c>
      <c r="L31" s="766"/>
      <c r="M31" s="361" t="s">
        <v>5</v>
      </c>
      <c r="N31" s="361" t="s">
        <v>3</v>
      </c>
      <c r="O31" s="767">
        <v>1</v>
      </c>
      <c r="P31" s="767"/>
      <c r="Q31" s="573"/>
      <c r="R31" s="361" t="s">
        <v>7</v>
      </c>
      <c r="S31" s="361"/>
      <c r="T31" s="361"/>
      <c r="U31" s="361" t="s">
        <v>4</v>
      </c>
      <c r="V31" s="361"/>
      <c r="W31" s="14"/>
      <c r="X31" s="100">
        <f>I31*K31*O31</f>
        <v>6000000</v>
      </c>
    </row>
    <row r="32" spans="1:24" ht="15.75" customHeight="1">
      <c r="A32" s="24"/>
      <c r="B32" s="546"/>
      <c r="C32" s="34"/>
      <c r="D32" s="551"/>
      <c r="E32" s="55"/>
      <c r="F32" s="20"/>
      <c r="G32" s="290"/>
      <c r="H32" s="479" t="s">
        <v>445</v>
      </c>
      <c r="I32" s="20">
        <v>60000</v>
      </c>
      <c r="J32" s="542" t="s">
        <v>3</v>
      </c>
      <c r="K32" s="780"/>
      <c r="L32" s="780"/>
      <c r="M32" s="542" t="s">
        <v>5</v>
      </c>
      <c r="N32" s="542" t="s">
        <v>3</v>
      </c>
      <c r="O32" s="542"/>
      <c r="P32" s="22">
        <v>1</v>
      </c>
      <c r="Q32" s="22"/>
      <c r="R32" s="542" t="s">
        <v>7</v>
      </c>
      <c r="S32" s="542"/>
      <c r="T32" s="542"/>
      <c r="U32" s="542" t="s">
        <v>4</v>
      </c>
      <c r="V32" s="542"/>
      <c r="W32" s="23"/>
      <c r="X32" s="99">
        <f>I32*K32*P32</f>
        <v>0</v>
      </c>
    </row>
    <row r="33" spans="1:24" ht="19.5" customHeight="1">
      <c r="A33" s="24"/>
      <c r="B33" s="546"/>
      <c r="C33" s="34"/>
      <c r="D33" s="34" t="s">
        <v>425</v>
      </c>
      <c r="E33" s="49">
        <f>X34/1000</f>
        <v>750</v>
      </c>
      <c r="F33" s="36">
        <v>750</v>
      </c>
      <c r="G33" s="647">
        <f>E33-F33</f>
        <v>0</v>
      </c>
      <c r="H33" s="14" t="s">
        <v>422</v>
      </c>
      <c r="I33" s="44"/>
      <c r="J33" s="361"/>
      <c r="K33" s="67"/>
      <c r="L33" s="67"/>
      <c r="M33" s="361"/>
      <c r="N33" s="361"/>
      <c r="O33" s="361"/>
      <c r="P33" s="573"/>
      <c r="Q33" s="573"/>
      <c r="R33" s="361"/>
      <c r="S33" s="361"/>
      <c r="T33" s="361"/>
      <c r="U33" s="361"/>
      <c r="V33" s="361"/>
      <c r="W33" s="14"/>
      <c r="X33" s="91">
        <f>X34</f>
        <v>750000</v>
      </c>
    </row>
    <row r="34" spans="1:24" ht="19.5" customHeight="1">
      <c r="A34" s="24"/>
      <c r="B34" s="546"/>
      <c r="C34" s="34"/>
      <c r="D34" s="26"/>
      <c r="E34" s="55"/>
      <c r="F34" s="28"/>
      <c r="G34" s="289"/>
      <c r="H34" s="23"/>
      <c r="I34" s="103">
        <v>750000</v>
      </c>
      <c r="J34" s="548" t="s">
        <v>3</v>
      </c>
      <c r="K34" s="780">
        <v>1</v>
      </c>
      <c r="L34" s="780"/>
      <c r="M34" s="548" t="s">
        <v>53</v>
      </c>
      <c r="N34" s="542"/>
      <c r="O34" s="542" t="s">
        <v>9</v>
      </c>
      <c r="P34" s="22"/>
      <c r="Q34" s="22"/>
      <c r="R34" s="542"/>
      <c r="S34" s="542"/>
      <c r="T34" s="542"/>
      <c r="U34" s="542"/>
      <c r="V34" s="542"/>
      <c r="W34" s="23"/>
      <c r="X34" s="91">
        <f>I34*K34</f>
        <v>750000</v>
      </c>
    </row>
    <row r="35" spans="1:24" ht="19.5" customHeight="1">
      <c r="A35" s="24"/>
      <c r="B35" s="546"/>
      <c r="C35" s="34"/>
      <c r="D35" s="46" t="s">
        <v>426</v>
      </c>
      <c r="E35" s="47">
        <f>P35/1000</f>
        <v>126186.48</v>
      </c>
      <c r="F35" s="58">
        <v>81119.88</v>
      </c>
      <c r="G35" s="647">
        <f>E35-F35</f>
        <v>45066.59999999999</v>
      </c>
      <c r="H35" s="782" t="s">
        <v>423</v>
      </c>
      <c r="I35" s="782"/>
      <c r="J35" s="782"/>
      <c r="K35" s="782"/>
      <c r="L35" s="782"/>
      <c r="M35" s="782"/>
      <c r="N35" s="782"/>
      <c r="O35" s="574"/>
      <c r="P35" s="791">
        <f>ROUNDDOWN(SUM(X36:X37),-1)</f>
        <v>126186480</v>
      </c>
      <c r="Q35" s="791"/>
      <c r="R35" s="791"/>
      <c r="S35" s="791"/>
      <c r="T35" s="791"/>
      <c r="U35" s="791"/>
      <c r="V35" s="791"/>
      <c r="W35" s="791"/>
      <c r="X35" s="792"/>
    </row>
    <row r="36" spans="1:24" ht="17.25" customHeight="1">
      <c r="A36" s="24"/>
      <c r="B36" s="546"/>
      <c r="C36" s="34"/>
      <c r="D36" s="34"/>
      <c r="E36" s="49"/>
      <c r="F36" s="36"/>
      <c r="G36" s="288"/>
      <c r="H36" s="360" t="s">
        <v>470</v>
      </c>
      <c r="I36" s="44">
        <v>200296</v>
      </c>
      <c r="J36" s="536" t="s">
        <v>3</v>
      </c>
      <c r="K36" s="766">
        <v>50</v>
      </c>
      <c r="L36" s="766"/>
      <c r="M36" s="536" t="s">
        <v>5</v>
      </c>
      <c r="N36" s="536" t="s">
        <v>3</v>
      </c>
      <c r="O36" s="536"/>
      <c r="P36" s="532">
        <v>6</v>
      </c>
      <c r="Q36" s="532"/>
      <c r="R36" s="536" t="s">
        <v>6</v>
      </c>
      <c r="S36" s="536"/>
      <c r="T36" s="536"/>
      <c r="U36" s="361" t="s">
        <v>4</v>
      </c>
      <c r="V36" s="361"/>
      <c r="W36" s="14"/>
      <c r="X36" s="91">
        <f>I36*K36*P36</f>
        <v>60088800</v>
      </c>
    </row>
    <row r="37" spans="1:24" ht="17.25" customHeight="1">
      <c r="A37" s="24"/>
      <c r="B37" s="546"/>
      <c r="C37" s="34"/>
      <c r="D37" s="34"/>
      <c r="E37" s="49"/>
      <c r="F37" s="36"/>
      <c r="G37" s="288"/>
      <c r="H37" s="360" t="s">
        <v>471</v>
      </c>
      <c r="I37" s="44">
        <v>200296</v>
      </c>
      <c r="J37" s="536" t="s">
        <v>3</v>
      </c>
      <c r="K37" s="766">
        <v>55</v>
      </c>
      <c r="L37" s="766"/>
      <c r="M37" s="536" t="s">
        <v>5</v>
      </c>
      <c r="N37" s="536" t="s">
        <v>3</v>
      </c>
      <c r="O37" s="536"/>
      <c r="P37" s="532">
        <v>6</v>
      </c>
      <c r="Q37" s="532"/>
      <c r="R37" s="536" t="s">
        <v>6</v>
      </c>
      <c r="S37" s="536"/>
      <c r="T37" s="536"/>
      <c r="U37" s="361" t="s">
        <v>4</v>
      </c>
      <c r="V37" s="361"/>
      <c r="W37" s="14"/>
      <c r="X37" s="91">
        <f>I37*K37*P37</f>
        <v>66097680</v>
      </c>
    </row>
    <row r="38" spans="1:24" ht="19.5" customHeight="1">
      <c r="A38" s="24"/>
      <c r="B38" s="546"/>
      <c r="C38" s="34"/>
      <c r="D38" s="750" t="s">
        <v>427</v>
      </c>
      <c r="E38" s="47">
        <f>P38/1000</f>
        <v>1595</v>
      </c>
      <c r="F38" s="58">
        <v>1305</v>
      </c>
      <c r="G38" s="647">
        <f>E38-F38</f>
        <v>290</v>
      </c>
      <c r="H38" s="760" t="s">
        <v>430</v>
      </c>
      <c r="I38" s="761"/>
      <c r="J38" s="761"/>
      <c r="K38" s="761"/>
      <c r="L38" s="761"/>
      <c r="M38" s="761"/>
      <c r="N38" s="574"/>
      <c r="O38" s="574"/>
      <c r="P38" s="791">
        <f>SUM(X40)</f>
        <v>1595000</v>
      </c>
      <c r="Q38" s="791"/>
      <c r="R38" s="791"/>
      <c r="S38" s="791"/>
      <c r="T38" s="791"/>
      <c r="U38" s="791"/>
      <c r="V38" s="791"/>
      <c r="W38" s="791"/>
      <c r="X38" s="792"/>
    </row>
    <row r="39" spans="1:24" ht="19.5" customHeight="1">
      <c r="A39" s="24"/>
      <c r="B39" s="546"/>
      <c r="C39" s="34"/>
      <c r="D39" s="751"/>
      <c r="E39" s="49"/>
      <c r="F39" s="36"/>
      <c r="G39" s="286"/>
      <c r="H39" s="244" t="s">
        <v>287</v>
      </c>
      <c r="I39" s="245">
        <v>29000</v>
      </c>
      <c r="J39" s="565" t="s">
        <v>3</v>
      </c>
      <c r="K39" s="843">
        <v>50</v>
      </c>
      <c r="L39" s="843"/>
      <c r="M39" s="565" t="s">
        <v>5</v>
      </c>
      <c r="N39" s="565" t="s">
        <v>3</v>
      </c>
      <c r="O39" s="565"/>
      <c r="P39" s="246">
        <v>1</v>
      </c>
      <c r="Q39" s="246"/>
      <c r="R39" s="565" t="s">
        <v>7</v>
      </c>
      <c r="S39" s="565"/>
      <c r="T39" s="565"/>
      <c r="U39" s="562" t="s">
        <v>4</v>
      </c>
      <c r="V39" s="562"/>
      <c r="W39" s="105"/>
      <c r="X39" s="100">
        <f>I39*K39*P39</f>
        <v>1450000</v>
      </c>
    </row>
    <row r="40" spans="1:24" ht="19.5" customHeight="1">
      <c r="A40" s="24"/>
      <c r="B40" s="546"/>
      <c r="C40" s="34"/>
      <c r="D40" s="778"/>
      <c r="E40" s="55"/>
      <c r="F40" s="28"/>
      <c r="G40" s="290"/>
      <c r="H40" s="19" t="s">
        <v>55</v>
      </c>
      <c r="I40" s="245">
        <v>29000</v>
      </c>
      <c r="J40" s="548" t="s">
        <v>3</v>
      </c>
      <c r="K40" s="780">
        <v>55</v>
      </c>
      <c r="L40" s="780"/>
      <c r="M40" s="548" t="s">
        <v>5</v>
      </c>
      <c r="N40" s="548" t="s">
        <v>3</v>
      </c>
      <c r="O40" s="548"/>
      <c r="P40" s="554">
        <v>1</v>
      </c>
      <c r="Q40" s="554"/>
      <c r="R40" s="548" t="s">
        <v>7</v>
      </c>
      <c r="S40" s="548"/>
      <c r="T40" s="548"/>
      <c r="U40" s="542" t="s">
        <v>4</v>
      </c>
      <c r="V40" s="542"/>
      <c r="W40" s="23"/>
      <c r="X40" s="93">
        <f>I40*K40*P40</f>
        <v>1595000</v>
      </c>
    </row>
    <row r="41" spans="1:24" ht="19.5" customHeight="1">
      <c r="A41" s="24"/>
      <c r="B41" s="546"/>
      <c r="C41" s="34"/>
      <c r="D41" s="750" t="s">
        <v>428</v>
      </c>
      <c r="E41" s="47">
        <f>P41/1000</f>
        <v>1577.18</v>
      </c>
      <c r="F41" s="58">
        <v>1290.42</v>
      </c>
      <c r="G41" s="647">
        <f>E41-F41</f>
        <v>286.76</v>
      </c>
      <c r="H41" s="761" t="s">
        <v>431</v>
      </c>
      <c r="I41" s="761"/>
      <c r="J41" s="761"/>
      <c r="K41" s="761"/>
      <c r="L41" s="761"/>
      <c r="M41" s="761"/>
      <c r="N41" s="361"/>
      <c r="O41" s="574"/>
      <c r="P41" s="791">
        <f>ROUNDDOWN(X42,-1)</f>
        <v>1577180</v>
      </c>
      <c r="Q41" s="791"/>
      <c r="R41" s="791"/>
      <c r="S41" s="791"/>
      <c r="T41" s="791"/>
      <c r="U41" s="791"/>
      <c r="V41" s="791"/>
      <c r="W41" s="791"/>
      <c r="X41" s="792"/>
    </row>
    <row r="42" spans="1:24" ht="19.5" customHeight="1">
      <c r="A42" s="24"/>
      <c r="B42" s="546"/>
      <c r="C42" s="34"/>
      <c r="D42" s="778"/>
      <c r="E42" s="55"/>
      <c r="F42" s="28"/>
      <c r="G42" s="289"/>
      <c r="H42" s="23"/>
      <c r="I42" s="103">
        <v>28676</v>
      </c>
      <c r="J42" s="548" t="s">
        <v>3</v>
      </c>
      <c r="K42" s="780">
        <v>55</v>
      </c>
      <c r="L42" s="780"/>
      <c r="M42" s="548" t="s">
        <v>5</v>
      </c>
      <c r="N42" s="548" t="s">
        <v>3</v>
      </c>
      <c r="O42" s="548"/>
      <c r="P42" s="554">
        <v>1</v>
      </c>
      <c r="Q42" s="554"/>
      <c r="R42" s="548" t="s">
        <v>7</v>
      </c>
      <c r="S42" s="548"/>
      <c r="T42" s="548"/>
      <c r="U42" s="542" t="s">
        <v>4</v>
      </c>
      <c r="V42" s="542"/>
      <c r="W42" s="23"/>
      <c r="X42" s="93">
        <f>I42*K42*P42</f>
        <v>1577180</v>
      </c>
    </row>
    <row r="43" spans="1:24" ht="19.5" customHeight="1">
      <c r="A43" s="24"/>
      <c r="B43" s="546"/>
      <c r="C43" s="34"/>
      <c r="D43" s="750" t="s">
        <v>320</v>
      </c>
      <c r="E43" s="47">
        <f>P43/1000</f>
        <v>3025</v>
      </c>
      <c r="F43" s="58">
        <v>2475</v>
      </c>
      <c r="G43" s="647">
        <f>E43-F43</f>
        <v>550</v>
      </c>
      <c r="H43" s="761" t="s">
        <v>432</v>
      </c>
      <c r="I43" s="761"/>
      <c r="J43" s="761"/>
      <c r="K43" s="761"/>
      <c r="L43" s="761"/>
      <c r="M43" s="761"/>
      <c r="N43" s="361"/>
      <c r="O43" s="574"/>
      <c r="P43" s="791">
        <f>SUM(X44)</f>
        <v>3025000</v>
      </c>
      <c r="Q43" s="791"/>
      <c r="R43" s="791"/>
      <c r="S43" s="791"/>
      <c r="T43" s="791"/>
      <c r="U43" s="791"/>
      <c r="V43" s="791"/>
      <c r="W43" s="791"/>
      <c r="X43" s="792"/>
    </row>
    <row r="44" spans="1:24" ht="19.5" customHeight="1">
      <c r="A44" s="24"/>
      <c r="B44" s="546"/>
      <c r="C44" s="34"/>
      <c r="D44" s="778"/>
      <c r="E44" s="55"/>
      <c r="F44" s="28"/>
      <c r="G44" s="289"/>
      <c r="H44" s="23"/>
      <c r="I44" s="103">
        <v>55000</v>
      </c>
      <c r="J44" s="548" t="s">
        <v>3</v>
      </c>
      <c r="K44" s="780">
        <v>55</v>
      </c>
      <c r="L44" s="780"/>
      <c r="M44" s="548" t="s">
        <v>5</v>
      </c>
      <c r="N44" s="548" t="s">
        <v>3</v>
      </c>
      <c r="O44" s="548"/>
      <c r="P44" s="554">
        <v>1</v>
      </c>
      <c r="Q44" s="554"/>
      <c r="R44" s="548" t="s">
        <v>7</v>
      </c>
      <c r="S44" s="548"/>
      <c r="T44" s="548"/>
      <c r="U44" s="542" t="s">
        <v>4</v>
      </c>
      <c r="V44" s="542"/>
      <c r="W44" s="23"/>
      <c r="X44" s="93">
        <f>I44*K44*P44</f>
        <v>3025000</v>
      </c>
    </row>
    <row r="45" spans="1:25" ht="19.5" customHeight="1">
      <c r="A45" s="24"/>
      <c r="B45" s="546"/>
      <c r="C45" s="34"/>
      <c r="D45" s="750" t="s">
        <v>429</v>
      </c>
      <c r="E45" s="47">
        <f>P45/1000</f>
        <v>1100</v>
      </c>
      <c r="F45" s="58">
        <v>900</v>
      </c>
      <c r="G45" s="647">
        <f>E45-F45</f>
        <v>200</v>
      </c>
      <c r="H45" s="761" t="s">
        <v>424</v>
      </c>
      <c r="I45" s="761"/>
      <c r="J45" s="761"/>
      <c r="K45" s="761"/>
      <c r="L45" s="761"/>
      <c r="M45" s="761"/>
      <c r="N45" s="361"/>
      <c r="O45" s="574"/>
      <c r="P45" s="791">
        <f>SUM(X46)</f>
        <v>1100000</v>
      </c>
      <c r="Q45" s="791"/>
      <c r="R45" s="791"/>
      <c r="S45" s="791"/>
      <c r="T45" s="791"/>
      <c r="U45" s="791"/>
      <c r="V45" s="791"/>
      <c r="W45" s="791"/>
      <c r="X45" s="792"/>
      <c r="Y45" s="13">
        <f>I47/50</f>
        <v>0</v>
      </c>
    </row>
    <row r="46" spans="1:25" ht="19.5" customHeight="1">
      <c r="A46" s="24"/>
      <c r="B46" s="546"/>
      <c r="C46" s="34"/>
      <c r="D46" s="778"/>
      <c r="E46" s="55"/>
      <c r="F46" s="28"/>
      <c r="G46" s="289"/>
      <c r="H46" s="23"/>
      <c r="I46" s="103">
        <v>20000</v>
      </c>
      <c r="J46" s="548" t="s">
        <v>3</v>
      </c>
      <c r="K46" s="780">
        <v>55</v>
      </c>
      <c r="L46" s="780"/>
      <c r="M46" s="548" t="s">
        <v>5</v>
      </c>
      <c r="N46" s="548" t="s">
        <v>3</v>
      </c>
      <c r="O46" s="548"/>
      <c r="P46" s="554">
        <v>1</v>
      </c>
      <c r="Q46" s="554"/>
      <c r="R46" s="548" t="s">
        <v>7</v>
      </c>
      <c r="S46" s="548"/>
      <c r="T46" s="548"/>
      <c r="U46" s="542" t="s">
        <v>4</v>
      </c>
      <c r="V46" s="542"/>
      <c r="W46" s="23"/>
      <c r="X46" s="93">
        <f>I46*K46*P46</f>
        <v>1100000</v>
      </c>
      <c r="Y46" s="13"/>
    </row>
    <row r="47" spans="1:24" ht="21" customHeight="1">
      <c r="A47" s="24"/>
      <c r="B47" s="546"/>
      <c r="C47" s="750" t="s">
        <v>56</v>
      </c>
      <c r="D47" s="46"/>
      <c r="E47" s="49">
        <f>E48</f>
        <v>0</v>
      </c>
      <c r="F47" s="36">
        <v>0</v>
      </c>
      <c r="G47" s="653">
        <f>G48</f>
        <v>0</v>
      </c>
      <c r="H47" s="71"/>
      <c r="I47" s="42"/>
      <c r="J47" s="361"/>
      <c r="K47" s="70"/>
      <c r="L47" s="70"/>
      <c r="M47" s="361"/>
      <c r="N47" s="361"/>
      <c r="O47" s="361"/>
      <c r="P47" s="573"/>
      <c r="Q47" s="573"/>
      <c r="R47" s="361"/>
      <c r="S47" s="361"/>
      <c r="T47" s="361"/>
      <c r="U47" s="45"/>
      <c r="V47" s="361"/>
      <c r="W47" s="14"/>
      <c r="X47" s="91"/>
    </row>
    <row r="48" spans="1:24" ht="21" customHeight="1">
      <c r="A48" s="24"/>
      <c r="B48" s="546"/>
      <c r="C48" s="751"/>
      <c r="D48" s="750" t="s">
        <v>57</v>
      </c>
      <c r="E48" s="47">
        <f>X48</f>
        <v>0</v>
      </c>
      <c r="F48" s="58">
        <v>0</v>
      </c>
      <c r="G48" s="647">
        <f>E48-F48</f>
        <v>0</v>
      </c>
      <c r="H48" s="784" t="s">
        <v>59</v>
      </c>
      <c r="I48" s="785"/>
      <c r="J48" s="574"/>
      <c r="K48" s="107"/>
      <c r="L48" s="107"/>
      <c r="M48" s="574"/>
      <c r="N48" s="574"/>
      <c r="O48" s="574"/>
      <c r="P48" s="60"/>
      <c r="Q48" s="60"/>
      <c r="R48" s="574"/>
      <c r="S48" s="574"/>
      <c r="T48" s="574"/>
      <c r="U48" s="108"/>
      <c r="V48" s="574"/>
      <c r="W48" s="48"/>
      <c r="X48" s="59"/>
    </row>
    <row r="49" spans="1:24" ht="21" customHeight="1">
      <c r="A49" s="24"/>
      <c r="B49" s="546"/>
      <c r="C49" s="26"/>
      <c r="D49" s="778"/>
      <c r="E49" s="55"/>
      <c r="F49" s="28"/>
      <c r="G49" s="284"/>
      <c r="H49" s="19"/>
      <c r="I49" s="20"/>
      <c r="J49" s="542"/>
      <c r="K49" s="41"/>
      <c r="L49" s="41"/>
      <c r="M49" s="542"/>
      <c r="N49" s="542"/>
      <c r="O49" s="542"/>
      <c r="P49" s="22"/>
      <c r="Q49" s="22"/>
      <c r="R49" s="542"/>
      <c r="S49" s="542"/>
      <c r="T49" s="542"/>
      <c r="U49" s="109"/>
      <c r="V49" s="542"/>
      <c r="W49" s="23"/>
      <c r="X49" s="93"/>
    </row>
    <row r="50" spans="1:24" ht="21" customHeight="1">
      <c r="A50" s="24"/>
      <c r="B50" s="546"/>
      <c r="C50" s="750" t="s">
        <v>204</v>
      </c>
      <c r="D50" s="46"/>
      <c r="E50" s="49">
        <f>SUM(E51)</f>
        <v>0</v>
      </c>
      <c r="F50" s="36">
        <v>0</v>
      </c>
      <c r="G50" s="653">
        <f>G51</f>
        <v>0</v>
      </c>
      <c r="H50" s="71"/>
      <c r="I50" s="42"/>
      <c r="J50" s="361"/>
      <c r="K50" s="67"/>
      <c r="L50" s="67"/>
      <c r="M50" s="361"/>
      <c r="N50" s="361"/>
      <c r="O50" s="361"/>
      <c r="P50" s="573"/>
      <c r="Q50" s="573"/>
      <c r="R50" s="361"/>
      <c r="S50" s="361"/>
      <c r="T50" s="361"/>
      <c r="U50" s="361"/>
      <c r="V50" s="361"/>
      <c r="W50" s="14"/>
      <c r="X50" s="91"/>
    </row>
    <row r="51" spans="1:24" ht="21" customHeight="1">
      <c r="A51" s="24"/>
      <c r="B51" s="546"/>
      <c r="C51" s="751"/>
      <c r="D51" s="750" t="s">
        <v>58</v>
      </c>
      <c r="E51" s="47">
        <f>X51</f>
        <v>0</v>
      </c>
      <c r="F51" s="58">
        <v>0</v>
      </c>
      <c r="G51" s="647">
        <f>E51-F51</f>
        <v>0</v>
      </c>
      <c r="H51" s="784" t="s">
        <v>59</v>
      </c>
      <c r="I51" s="785"/>
      <c r="J51" s="574"/>
      <c r="K51" s="102"/>
      <c r="L51" s="102"/>
      <c r="M51" s="574"/>
      <c r="N51" s="574"/>
      <c r="O51" s="574"/>
      <c r="P51" s="60"/>
      <c r="Q51" s="60"/>
      <c r="R51" s="574"/>
      <c r="S51" s="574"/>
      <c r="T51" s="574"/>
      <c r="U51" s="574"/>
      <c r="V51" s="574"/>
      <c r="W51" s="48"/>
      <c r="X51" s="59"/>
    </row>
    <row r="52" spans="1:24" ht="21" customHeight="1" thickBot="1">
      <c r="A52" s="72"/>
      <c r="B52" s="186"/>
      <c r="C52" s="113"/>
      <c r="D52" s="777"/>
      <c r="E52" s="114"/>
      <c r="F52" s="128"/>
      <c r="G52" s="291"/>
      <c r="H52" s="186"/>
      <c r="I52" s="239"/>
      <c r="J52" s="537"/>
      <c r="K52" s="116"/>
      <c r="L52" s="116"/>
      <c r="M52" s="537"/>
      <c r="N52" s="537"/>
      <c r="O52" s="537"/>
      <c r="P52" s="156"/>
      <c r="Q52" s="156"/>
      <c r="R52" s="537"/>
      <c r="S52" s="537"/>
      <c r="T52" s="537"/>
      <c r="U52" s="537"/>
      <c r="V52" s="537"/>
      <c r="W52" s="86"/>
      <c r="X52" s="117"/>
    </row>
    <row r="53" spans="1:24" ht="21" customHeight="1">
      <c r="A53" s="799" t="s">
        <v>62</v>
      </c>
      <c r="B53" s="176"/>
      <c r="C53" s="74"/>
      <c r="D53" s="74"/>
      <c r="E53" s="243">
        <f>E54</f>
        <v>16000</v>
      </c>
      <c r="F53" s="76">
        <v>12000</v>
      </c>
      <c r="G53" s="652">
        <f>G54</f>
        <v>4000</v>
      </c>
      <c r="H53" s="77"/>
      <c r="I53" s="78"/>
      <c r="J53" s="79"/>
      <c r="K53" s="80"/>
      <c r="L53" s="80"/>
      <c r="M53" s="79"/>
      <c r="N53" s="79"/>
      <c r="O53" s="79"/>
      <c r="P53" s="81"/>
      <c r="Q53" s="81"/>
      <c r="R53" s="79"/>
      <c r="S53" s="79"/>
      <c r="T53" s="79"/>
      <c r="U53" s="79"/>
      <c r="V53" s="82"/>
      <c r="W53" s="79"/>
      <c r="X53" s="94"/>
    </row>
    <row r="54" spans="1:24" ht="21" customHeight="1">
      <c r="A54" s="753"/>
      <c r="B54" s="750" t="s">
        <v>63</v>
      </c>
      <c r="C54" s="25"/>
      <c r="D54" s="25"/>
      <c r="E54" s="112">
        <f>SUM(E55,E58)</f>
        <v>16000</v>
      </c>
      <c r="F54" s="38">
        <v>12000</v>
      </c>
      <c r="G54" s="651">
        <f>+G55+G58</f>
        <v>4000</v>
      </c>
      <c r="H54" s="29"/>
      <c r="I54" s="30"/>
      <c r="J54" s="528"/>
      <c r="K54" s="31"/>
      <c r="L54" s="31"/>
      <c r="M54" s="528"/>
      <c r="N54" s="528"/>
      <c r="O54" s="528"/>
      <c r="P54" s="83"/>
      <c r="Q54" s="83"/>
      <c r="R54" s="528"/>
      <c r="S54" s="528"/>
      <c r="T54" s="528"/>
      <c r="U54" s="528"/>
      <c r="V54" s="33"/>
      <c r="W54" s="528"/>
      <c r="X54" s="95"/>
    </row>
    <row r="55" spans="1:24" ht="21" customHeight="1">
      <c r="A55" s="178"/>
      <c r="B55" s="751"/>
      <c r="C55" s="750" t="s">
        <v>64</v>
      </c>
      <c r="D55" s="169"/>
      <c r="E55" s="49">
        <f>SUM(E56)</f>
        <v>8000</v>
      </c>
      <c r="F55" s="36">
        <v>6000</v>
      </c>
      <c r="G55" s="653">
        <f>G56</f>
        <v>2000</v>
      </c>
      <c r="H55" s="71"/>
      <c r="I55" s="42"/>
      <c r="J55" s="361"/>
      <c r="K55" s="67"/>
      <c r="L55" s="67"/>
      <c r="M55" s="361"/>
      <c r="N55" s="361"/>
      <c r="O55" s="361"/>
      <c r="P55" s="84"/>
      <c r="Q55" s="84"/>
      <c r="R55" s="361"/>
      <c r="S55" s="361"/>
      <c r="T55" s="361"/>
      <c r="U55" s="361"/>
      <c r="V55" s="14"/>
      <c r="W55" s="361"/>
      <c r="X55" s="91"/>
    </row>
    <row r="56" spans="1:24" ht="19.5" customHeight="1">
      <c r="A56" s="24"/>
      <c r="B56" s="546"/>
      <c r="C56" s="751"/>
      <c r="D56" s="750" t="s">
        <v>65</v>
      </c>
      <c r="E56" s="47">
        <f>SUM(U56)/1000</f>
        <v>8000</v>
      </c>
      <c r="F56" s="69">
        <v>6000</v>
      </c>
      <c r="G56" s="647">
        <f>E56-F56</f>
        <v>2000</v>
      </c>
      <c r="H56" s="764" t="s">
        <v>68</v>
      </c>
      <c r="I56" s="765"/>
      <c r="J56" s="765"/>
      <c r="K56" s="765"/>
      <c r="L56" s="765"/>
      <c r="M56" s="765"/>
      <c r="N56" s="765"/>
      <c r="O56" s="765"/>
      <c r="P56" s="765"/>
      <c r="Q56" s="765"/>
      <c r="R56" s="765"/>
      <c r="S56" s="765"/>
      <c r="T56" s="604"/>
      <c r="U56" s="762">
        <f>X57</f>
        <v>8000000</v>
      </c>
      <c r="V56" s="762"/>
      <c r="W56" s="762"/>
      <c r="X56" s="763"/>
    </row>
    <row r="57" spans="1:24" ht="21.75" customHeight="1" thickBot="1">
      <c r="A57" s="72"/>
      <c r="B57" s="186"/>
      <c r="C57" s="167"/>
      <c r="D57" s="777"/>
      <c r="E57" s="114"/>
      <c r="F57" s="115"/>
      <c r="G57" s="603"/>
      <c r="H57" s="272" t="s">
        <v>6</v>
      </c>
      <c r="I57" s="115">
        <v>2000000</v>
      </c>
      <c r="J57" s="537"/>
      <c r="K57" s="116"/>
      <c r="L57" s="550" t="s">
        <v>3</v>
      </c>
      <c r="M57" s="537"/>
      <c r="N57" s="790">
        <v>4</v>
      </c>
      <c r="O57" s="790"/>
      <c r="P57" s="775" t="s">
        <v>150</v>
      </c>
      <c r="Q57" s="775"/>
      <c r="R57" s="537"/>
      <c r="S57" s="537" t="s">
        <v>9</v>
      </c>
      <c r="T57" s="537"/>
      <c r="U57" s="537"/>
      <c r="V57" s="86"/>
      <c r="W57" s="157"/>
      <c r="X57" s="117">
        <f>SUM(I57*N57)</f>
        <v>8000000</v>
      </c>
    </row>
    <row r="58" spans="1:24" ht="19.5" customHeight="1">
      <c r="A58" s="797" t="str">
        <f>A53</f>
        <v>05.후원금수입</v>
      </c>
      <c r="B58" s="779" t="str">
        <f>B54</f>
        <v>51.후원금수입</v>
      </c>
      <c r="C58" s="779" t="s">
        <v>66</v>
      </c>
      <c r="D58" s="599"/>
      <c r="E58" s="188">
        <f>SUM(E59)</f>
        <v>8000</v>
      </c>
      <c r="F58" s="600">
        <v>6000</v>
      </c>
      <c r="G58" s="655">
        <f>G59</f>
        <v>2000</v>
      </c>
      <c r="H58" s="77"/>
      <c r="I58" s="78"/>
      <c r="J58" s="79"/>
      <c r="K58" s="80"/>
      <c r="L58" s="80"/>
      <c r="M58" s="79"/>
      <c r="N58" s="79"/>
      <c r="O58" s="79"/>
      <c r="P58" s="81"/>
      <c r="Q58" s="81"/>
      <c r="R58" s="79"/>
      <c r="S58" s="79"/>
      <c r="T58" s="79"/>
      <c r="U58" s="79"/>
      <c r="V58" s="82"/>
      <c r="W58" s="79"/>
      <c r="X58" s="94"/>
    </row>
    <row r="59" spans="1:24" ht="19.5" customHeight="1">
      <c r="A59" s="798"/>
      <c r="B59" s="751"/>
      <c r="C59" s="751"/>
      <c r="D59" s="750" t="s">
        <v>67</v>
      </c>
      <c r="E59" s="47">
        <f>SUM(U59)/1000</f>
        <v>8000</v>
      </c>
      <c r="F59" s="58">
        <v>6000</v>
      </c>
      <c r="G59" s="647">
        <f>E59-F59</f>
        <v>2000</v>
      </c>
      <c r="H59" s="764" t="s">
        <v>69</v>
      </c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604"/>
      <c r="U59" s="762">
        <f>X60</f>
        <v>8000000</v>
      </c>
      <c r="V59" s="762"/>
      <c r="W59" s="762"/>
      <c r="X59" s="763"/>
    </row>
    <row r="60" spans="1:24" ht="19.5" customHeight="1" thickBot="1">
      <c r="A60" s="72"/>
      <c r="B60" s="186"/>
      <c r="C60" s="167"/>
      <c r="D60" s="777"/>
      <c r="E60" s="114"/>
      <c r="F60" s="128"/>
      <c r="G60" s="287"/>
      <c r="H60" s="272" t="s">
        <v>6</v>
      </c>
      <c r="I60" s="115">
        <v>2000000</v>
      </c>
      <c r="J60" s="537"/>
      <c r="K60" s="116"/>
      <c r="L60" s="550" t="s">
        <v>3</v>
      </c>
      <c r="M60" s="537"/>
      <c r="N60" s="790">
        <v>4</v>
      </c>
      <c r="O60" s="790"/>
      <c r="P60" s="775" t="s">
        <v>150</v>
      </c>
      <c r="Q60" s="775"/>
      <c r="R60" s="537"/>
      <c r="S60" s="537" t="s">
        <v>9</v>
      </c>
      <c r="T60" s="537"/>
      <c r="U60" s="537"/>
      <c r="V60" s="86"/>
      <c r="W60" s="157"/>
      <c r="X60" s="117">
        <f>SUM(I60*N60)</f>
        <v>8000000</v>
      </c>
    </row>
    <row r="61" spans="1:24" ht="19.5" customHeight="1">
      <c r="A61" s="73" t="s">
        <v>83</v>
      </c>
      <c r="B61" s="75"/>
      <c r="C61" s="176"/>
      <c r="D61" s="176"/>
      <c r="E61" s="243">
        <f>SUM(E62)</f>
        <v>0</v>
      </c>
      <c r="F61" s="76">
        <v>0</v>
      </c>
      <c r="G61" s="652">
        <f>G62</f>
        <v>0</v>
      </c>
      <c r="H61" s="77"/>
      <c r="I61" s="78"/>
      <c r="J61" s="79"/>
      <c r="K61" s="80"/>
      <c r="L61" s="80"/>
      <c r="M61" s="79"/>
      <c r="N61" s="79"/>
      <c r="O61" s="79"/>
      <c r="P61" s="81"/>
      <c r="Q61" s="81"/>
      <c r="R61" s="79"/>
      <c r="S61" s="79"/>
      <c r="T61" s="79"/>
      <c r="U61" s="79"/>
      <c r="V61" s="82"/>
      <c r="W61" s="79"/>
      <c r="X61" s="94"/>
    </row>
    <row r="62" spans="1:24" ht="21" customHeight="1">
      <c r="A62" s="24"/>
      <c r="B62" s="46" t="s">
        <v>84</v>
      </c>
      <c r="C62" s="172"/>
      <c r="D62" s="169"/>
      <c r="E62" s="112">
        <f>SUM(E63,E66)</f>
        <v>0</v>
      </c>
      <c r="F62" s="38">
        <v>0</v>
      </c>
      <c r="G62" s="651">
        <f>G63+G66</f>
        <v>0</v>
      </c>
      <c r="H62" s="29"/>
      <c r="I62" s="30"/>
      <c r="J62" s="528"/>
      <c r="K62" s="31"/>
      <c r="L62" s="31"/>
      <c r="M62" s="528"/>
      <c r="N62" s="528"/>
      <c r="O62" s="528"/>
      <c r="P62" s="83"/>
      <c r="Q62" s="83"/>
      <c r="R62" s="528"/>
      <c r="S62" s="528"/>
      <c r="T62" s="528"/>
      <c r="U62" s="528"/>
      <c r="V62" s="33"/>
      <c r="W62" s="528"/>
      <c r="X62" s="95"/>
    </row>
    <row r="63" spans="1:24" ht="19.5" customHeight="1">
      <c r="A63" s="87"/>
      <c r="B63" s="34"/>
      <c r="C63" s="750" t="s">
        <v>87</v>
      </c>
      <c r="D63" s="556"/>
      <c r="E63" s="49">
        <f>SUM(E64)</f>
        <v>0</v>
      </c>
      <c r="F63" s="36">
        <v>0</v>
      </c>
      <c r="G63" s="653">
        <f>G64</f>
        <v>0</v>
      </c>
      <c r="H63" s="71"/>
      <c r="I63" s="42"/>
      <c r="J63" s="361"/>
      <c r="K63" s="67"/>
      <c r="L63" s="67"/>
      <c r="M63" s="361"/>
      <c r="N63" s="361"/>
      <c r="O63" s="361"/>
      <c r="P63" s="84"/>
      <c r="Q63" s="84"/>
      <c r="R63" s="361"/>
      <c r="S63" s="361"/>
      <c r="T63" s="361"/>
      <c r="U63" s="361"/>
      <c r="V63" s="14"/>
      <c r="W63" s="361"/>
      <c r="X63" s="91"/>
    </row>
    <row r="64" spans="1:24" ht="19.5" customHeight="1">
      <c r="A64" s="24"/>
      <c r="B64" s="34"/>
      <c r="C64" s="751"/>
      <c r="D64" s="750" t="s">
        <v>85</v>
      </c>
      <c r="E64" s="47"/>
      <c r="F64" s="58"/>
      <c r="G64" s="647">
        <f>E64-F64</f>
        <v>0</v>
      </c>
      <c r="H64" s="65" t="s">
        <v>89</v>
      </c>
      <c r="I64" s="69"/>
      <c r="J64" s="574"/>
      <c r="K64" s="102"/>
      <c r="L64" s="102"/>
      <c r="M64" s="574"/>
      <c r="N64" s="574"/>
      <c r="O64" s="574"/>
      <c r="P64" s="110"/>
      <c r="Q64" s="110"/>
      <c r="R64" s="574"/>
      <c r="S64" s="574"/>
      <c r="T64" s="574"/>
      <c r="U64" s="574"/>
      <c r="V64" s="48"/>
      <c r="W64" s="574"/>
      <c r="X64" s="59"/>
    </row>
    <row r="65" spans="1:24" ht="19.5" customHeight="1">
      <c r="A65" s="24"/>
      <c r="B65" s="34"/>
      <c r="C65" s="166"/>
      <c r="D65" s="778"/>
      <c r="E65" s="49"/>
      <c r="F65" s="36"/>
      <c r="G65" s="286"/>
      <c r="H65" s="71"/>
      <c r="I65" s="42"/>
      <c r="J65" s="361"/>
      <c r="K65" s="67"/>
      <c r="L65" s="67"/>
      <c r="M65" s="361"/>
      <c r="N65" s="361"/>
      <c r="O65" s="361"/>
      <c r="P65" s="84"/>
      <c r="Q65" s="84"/>
      <c r="R65" s="361"/>
      <c r="S65" s="361"/>
      <c r="T65" s="361"/>
      <c r="U65" s="361"/>
      <c r="V65" s="14"/>
      <c r="W65" s="361"/>
      <c r="X65" s="91"/>
    </row>
    <row r="66" spans="1:24" ht="19.5" customHeight="1">
      <c r="A66" s="24"/>
      <c r="B66" s="34"/>
      <c r="C66" s="750" t="s">
        <v>88</v>
      </c>
      <c r="D66" s="555"/>
      <c r="E66" s="112">
        <f>SUM(E67)</f>
        <v>0</v>
      </c>
      <c r="F66" s="38">
        <v>0</v>
      </c>
      <c r="G66" s="293">
        <f>G67</f>
        <v>0</v>
      </c>
      <c r="H66" s="65"/>
      <c r="I66" s="69"/>
      <c r="J66" s="574"/>
      <c r="K66" s="102"/>
      <c r="L66" s="102"/>
      <c r="M66" s="574"/>
      <c r="N66" s="574"/>
      <c r="O66" s="574"/>
      <c r="P66" s="110"/>
      <c r="Q66" s="110"/>
      <c r="R66" s="574"/>
      <c r="S66" s="574"/>
      <c r="T66" s="574"/>
      <c r="U66" s="574"/>
      <c r="V66" s="48"/>
      <c r="W66" s="574"/>
      <c r="X66" s="59"/>
    </row>
    <row r="67" spans="1:24" ht="19.5" customHeight="1">
      <c r="A67" s="24"/>
      <c r="B67" s="34"/>
      <c r="C67" s="751"/>
      <c r="D67" s="750" t="s">
        <v>86</v>
      </c>
      <c r="E67" s="47"/>
      <c r="F67" s="58"/>
      <c r="G67" s="647">
        <f>E67-F67</f>
        <v>0</v>
      </c>
      <c r="H67" s="65" t="s">
        <v>90</v>
      </c>
      <c r="I67" s="69"/>
      <c r="J67" s="574"/>
      <c r="K67" s="102"/>
      <c r="L67" s="102"/>
      <c r="M67" s="574"/>
      <c r="N67" s="574"/>
      <c r="O67" s="574"/>
      <c r="P67" s="110"/>
      <c r="Q67" s="110"/>
      <c r="R67" s="574"/>
      <c r="S67" s="574"/>
      <c r="T67" s="574"/>
      <c r="U67" s="574"/>
      <c r="V67" s="48"/>
      <c r="W67" s="574"/>
      <c r="X67" s="59"/>
    </row>
    <row r="68" spans="1:24" ht="21" customHeight="1" thickBot="1">
      <c r="A68" s="24"/>
      <c r="B68" s="34"/>
      <c r="C68" s="556"/>
      <c r="D68" s="751"/>
      <c r="E68" s="49"/>
      <c r="F68" s="36"/>
      <c r="G68" s="286"/>
      <c r="H68" s="71"/>
      <c r="I68" s="42"/>
      <c r="J68" s="361"/>
      <c r="K68" s="67"/>
      <c r="L68" s="67"/>
      <c r="M68" s="361"/>
      <c r="N68" s="361"/>
      <c r="O68" s="361"/>
      <c r="P68" s="84"/>
      <c r="Q68" s="84"/>
      <c r="R68" s="361"/>
      <c r="S68" s="361"/>
      <c r="T68" s="361"/>
      <c r="U68" s="361"/>
      <c r="V68" s="14"/>
      <c r="W68" s="361"/>
      <c r="X68" s="91"/>
    </row>
    <row r="69" spans="1:24" ht="21" customHeight="1">
      <c r="A69" s="73" t="s">
        <v>70</v>
      </c>
      <c r="B69" s="75"/>
      <c r="C69" s="176"/>
      <c r="D69" s="176"/>
      <c r="E69" s="248">
        <f>SUM(E70)</f>
        <v>5000</v>
      </c>
      <c r="F69" s="150">
        <v>5000</v>
      </c>
      <c r="G69" s="654">
        <f>G70</f>
        <v>0</v>
      </c>
      <c r="H69" s="77"/>
      <c r="I69" s="78"/>
      <c r="J69" s="79"/>
      <c r="K69" s="80"/>
      <c r="L69" s="80"/>
      <c r="M69" s="79"/>
      <c r="N69" s="79"/>
      <c r="O69" s="79"/>
      <c r="P69" s="81"/>
      <c r="Q69" s="81"/>
      <c r="R69" s="79"/>
      <c r="S69" s="79"/>
      <c r="T69" s="79"/>
      <c r="U69" s="79"/>
      <c r="V69" s="82"/>
      <c r="W69" s="79"/>
      <c r="X69" s="94"/>
    </row>
    <row r="70" spans="1:24" ht="21" customHeight="1">
      <c r="A70" s="24"/>
      <c r="B70" s="25" t="s">
        <v>71</v>
      </c>
      <c r="C70" s="172"/>
      <c r="D70" s="169"/>
      <c r="E70" s="112">
        <f>SUM(E71,E74)</f>
        <v>5000</v>
      </c>
      <c r="F70" s="38">
        <v>5000</v>
      </c>
      <c r="G70" s="651">
        <f>G71+G74</f>
        <v>0</v>
      </c>
      <c r="H70" s="29"/>
      <c r="I70" s="30"/>
      <c r="J70" s="528"/>
      <c r="K70" s="31"/>
      <c r="L70" s="31"/>
      <c r="M70" s="528"/>
      <c r="N70" s="528"/>
      <c r="O70" s="528"/>
      <c r="P70" s="83"/>
      <c r="Q70" s="83"/>
      <c r="R70" s="528"/>
      <c r="S70" s="528"/>
      <c r="T70" s="528"/>
      <c r="U70" s="528"/>
      <c r="V70" s="33"/>
      <c r="W70" s="528"/>
      <c r="X70" s="95"/>
    </row>
    <row r="71" spans="1:24" ht="21" customHeight="1">
      <c r="A71" s="24"/>
      <c r="B71" s="34"/>
      <c r="C71" s="750" t="s">
        <v>72</v>
      </c>
      <c r="D71" s="555"/>
      <c r="E71" s="47">
        <f>E72</f>
        <v>5000</v>
      </c>
      <c r="F71" s="58">
        <v>5000</v>
      </c>
      <c r="G71" s="641">
        <f>G72</f>
        <v>0</v>
      </c>
      <c r="H71" s="65"/>
      <c r="I71" s="69"/>
      <c r="J71" s="574"/>
      <c r="K71" s="102"/>
      <c r="L71" s="102"/>
      <c r="M71" s="574"/>
      <c r="N71" s="574"/>
      <c r="O71" s="574"/>
      <c r="P71" s="110"/>
      <c r="Q71" s="110"/>
      <c r="R71" s="574"/>
      <c r="S71" s="574"/>
      <c r="T71" s="574"/>
      <c r="U71" s="574"/>
      <c r="V71" s="48"/>
      <c r="W71" s="574"/>
      <c r="X71" s="59"/>
    </row>
    <row r="72" spans="1:24" ht="21" customHeight="1">
      <c r="A72" s="24"/>
      <c r="B72" s="34"/>
      <c r="C72" s="751"/>
      <c r="D72" s="750" t="s">
        <v>73</v>
      </c>
      <c r="E72" s="47">
        <f>Q72/1000</f>
        <v>5000</v>
      </c>
      <c r="F72" s="58">
        <v>5000</v>
      </c>
      <c r="G72" s="647">
        <f>E72-F72</f>
        <v>0</v>
      </c>
      <c r="H72" s="65" t="s">
        <v>285</v>
      </c>
      <c r="I72" s="69"/>
      <c r="J72" s="574"/>
      <c r="K72" s="102"/>
      <c r="L72" s="102"/>
      <c r="M72" s="574"/>
      <c r="N72" s="574"/>
      <c r="O72" s="574"/>
      <c r="P72" s="110"/>
      <c r="Q72" s="791">
        <f>X73</f>
        <v>5000000</v>
      </c>
      <c r="R72" s="791"/>
      <c r="S72" s="791"/>
      <c r="T72" s="791"/>
      <c r="U72" s="791"/>
      <c r="V72" s="791"/>
      <c r="W72" s="791"/>
      <c r="X72" s="792"/>
    </row>
    <row r="73" spans="1:24" ht="21" customHeight="1">
      <c r="A73" s="24"/>
      <c r="B73" s="34"/>
      <c r="C73" s="166"/>
      <c r="D73" s="778"/>
      <c r="E73" s="55"/>
      <c r="F73" s="28"/>
      <c r="G73" s="290"/>
      <c r="H73" s="106"/>
      <c r="I73" s="20">
        <v>5000000</v>
      </c>
      <c r="J73" s="542"/>
      <c r="K73" s="21"/>
      <c r="L73" s="548" t="s">
        <v>3</v>
      </c>
      <c r="M73" s="542"/>
      <c r="N73" s="795">
        <v>1</v>
      </c>
      <c r="O73" s="795"/>
      <c r="P73" s="796" t="s">
        <v>7</v>
      </c>
      <c r="Q73" s="796"/>
      <c r="R73" s="542"/>
      <c r="S73" s="542" t="s">
        <v>9</v>
      </c>
      <c r="T73" s="542"/>
      <c r="U73" s="542"/>
      <c r="V73" s="23"/>
      <c r="W73" s="109"/>
      <c r="X73" s="93">
        <f>SUM(I73*N73)</f>
        <v>5000000</v>
      </c>
    </row>
    <row r="74" spans="1:24" ht="21" customHeight="1">
      <c r="A74" s="24"/>
      <c r="B74" s="34"/>
      <c r="C74" s="751" t="s">
        <v>433</v>
      </c>
      <c r="D74" s="556"/>
      <c r="E74" s="49">
        <f>SUM(E75)</f>
        <v>0</v>
      </c>
      <c r="F74" s="36">
        <v>0</v>
      </c>
      <c r="G74" s="653">
        <f>G75</f>
        <v>0</v>
      </c>
      <c r="H74" s="71"/>
      <c r="I74" s="42"/>
      <c r="J74" s="361"/>
      <c r="K74" s="67"/>
      <c r="L74" s="67"/>
      <c r="M74" s="361"/>
      <c r="N74" s="361"/>
      <c r="O74" s="361"/>
      <c r="P74" s="84"/>
      <c r="Q74" s="84"/>
      <c r="R74" s="361"/>
      <c r="S74" s="361"/>
      <c r="T74" s="361"/>
      <c r="U74" s="361"/>
      <c r="V74" s="14"/>
      <c r="W74" s="361"/>
      <c r="X74" s="91"/>
    </row>
    <row r="75" spans="1:24" ht="21" customHeight="1">
      <c r="A75" s="24"/>
      <c r="B75" s="34"/>
      <c r="C75" s="751"/>
      <c r="D75" s="750" t="s">
        <v>406</v>
      </c>
      <c r="E75" s="47">
        <f>Q75</f>
        <v>0</v>
      </c>
      <c r="F75" s="58">
        <v>0</v>
      </c>
      <c r="G75" s="647">
        <f>E75-F75</f>
        <v>0</v>
      </c>
      <c r="H75" s="65"/>
      <c r="I75" s="69"/>
      <c r="J75" s="574"/>
      <c r="K75" s="102"/>
      <c r="L75" s="102"/>
      <c r="M75" s="574"/>
      <c r="N75" s="574"/>
      <c r="O75" s="574"/>
      <c r="P75" s="110"/>
      <c r="Q75" s="791"/>
      <c r="R75" s="791"/>
      <c r="S75" s="791"/>
      <c r="T75" s="791"/>
      <c r="U75" s="791"/>
      <c r="V75" s="791"/>
      <c r="W75" s="574"/>
      <c r="X75" s="59"/>
    </row>
    <row r="76" spans="1:24" ht="21" customHeight="1" thickBot="1">
      <c r="A76" s="72"/>
      <c r="B76" s="113"/>
      <c r="C76" s="167"/>
      <c r="D76" s="777"/>
      <c r="E76" s="114"/>
      <c r="F76" s="128"/>
      <c r="G76" s="287"/>
      <c r="H76" s="85"/>
      <c r="I76" s="115"/>
      <c r="J76" s="537"/>
      <c r="K76" s="116"/>
      <c r="L76" s="116"/>
      <c r="M76" s="537"/>
      <c r="N76" s="537"/>
      <c r="O76" s="537"/>
      <c r="P76" s="531"/>
      <c r="Q76" s="531"/>
      <c r="R76" s="537"/>
      <c r="S76" s="537"/>
      <c r="T76" s="537"/>
      <c r="U76" s="537"/>
      <c r="V76" s="86"/>
      <c r="W76" s="537"/>
      <c r="X76" s="117"/>
    </row>
    <row r="77" spans="1:24" ht="21" customHeight="1">
      <c r="A77" s="73" t="s">
        <v>74</v>
      </c>
      <c r="B77" s="123"/>
      <c r="C77" s="74"/>
      <c r="D77" s="74"/>
      <c r="E77" s="243">
        <f>SUM(E78)</f>
        <v>0</v>
      </c>
      <c r="F77" s="76">
        <v>0</v>
      </c>
      <c r="G77" s="652">
        <f>G78</f>
        <v>0</v>
      </c>
      <c r="H77" s="77"/>
      <c r="I77" s="78"/>
      <c r="J77" s="79"/>
      <c r="K77" s="80"/>
      <c r="L77" s="80"/>
      <c r="M77" s="79"/>
      <c r="N77" s="79"/>
      <c r="O77" s="79"/>
      <c r="P77" s="81"/>
      <c r="Q77" s="81"/>
      <c r="R77" s="79"/>
      <c r="S77" s="79"/>
      <c r="T77" s="79"/>
      <c r="U77" s="79"/>
      <c r="V77" s="82"/>
      <c r="W77" s="79"/>
      <c r="X77" s="94"/>
    </row>
    <row r="78" spans="1:24" ht="21" customHeight="1">
      <c r="A78" s="24"/>
      <c r="B78" s="46" t="s">
        <v>75</v>
      </c>
      <c r="C78" s="68"/>
      <c r="D78" s="46"/>
      <c r="E78" s="47">
        <f>SUM(E79,E82,E87)</f>
        <v>0</v>
      </c>
      <c r="F78" s="58">
        <v>0</v>
      </c>
      <c r="G78" s="641">
        <f>G79+G82</f>
        <v>0</v>
      </c>
      <c r="H78" s="65"/>
      <c r="I78" s="69"/>
      <c r="J78" s="574"/>
      <c r="K78" s="102"/>
      <c r="L78" s="102"/>
      <c r="M78" s="574"/>
      <c r="N78" s="574"/>
      <c r="O78" s="574"/>
      <c r="P78" s="110"/>
      <c r="Q78" s="110"/>
      <c r="R78" s="574"/>
      <c r="S78" s="574"/>
      <c r="T78" s="574"/>
      <c r="U78" s="574"/>
      <c r="V78" s="48"/>
      <c r="W78" s="574"/>
      <c r="X78" s="59"/>
    </row>
    <row r="79" spans="1:24" ht="21" customHeight="1">
      <c r="A79" s="118"/>
      <c r="B79" s="88"/>
      <c r="C79" s="750" t="s">
        <v>76</v>
      </c>
      <c r="D79" s="169"/>
      <c r="E79" s="112">
        <f>SUM(E80)</f>
        <v>0</v>
      </c>
      <c r="F79" s="38">
        <v>0</v>
      </c>
      <c r="G79" s="651">
        <f>G80</f>
        <v>0</v>
      </c>
      <c r="H79" s="120"/>
      <c r="I79" s="30"/>
      <c r="J79" s="528"/>
      <c r="K79" s="31"/>
      <c r="L79" s="31"/>
      <c r="M79" s="528"/>
      <c r="N79" s="528"/>
      <c r="O79" s="528"/>
      <c r="P79" s="83"/>
      <c r="Q79" s="83"/>
      <c r="R79" s="528"/>
      <c r="S79" s="528"/>
      <c r="T79" s="528"/>
      <c r="U79" s="528"/>
      <c r="V79" s="33"/>
      <c r="W79" s="528"/>
      <c r="X79" s="95"/>
    </row>
    <row r="80" spans="1:24" ht="21" customHeight="1">
      <c r="A80" s="118"/>
      <c r="B80" s="88"/>
      <c r="C80" s="751"/>
      <c r="D80" s="750" t="s">
        <v>77</v>
      </c>
      <c r="E80" s="47">
        <f>X80</f>
        <v>0</v>
      </c>
      <c r="F80" s="58">
        <v>0</v>
      </c>
      <c r="G80" s="647">
        <f>E80-F80</f>
        <v>0</v>
      </c>
      <c r="H80" s="121" t="s">
        <v>81</v>
      </c>
      <c r="I80" s="69"/>
      <c r="J80" s="574"/>
      <c r="K80" s="102"/>
      <c r="L80" s="102"/>
      <c r="M80" s="574"/>
      <c r="N80" s="574"/>
      <c r="O80" s="574"/>
      <c r="P80" s="110"/>
      <c r="Q80" s="110"/>
      <c r="R80" s="574"/>
      <c r="S80" s="574"/>
      <c r="T80" s="574"/>
      <c r="U80" s="574"/>
      <c r="V80" s="48"/>
      <c r="W80" s="574"/>
      <c r="X80" s="59"/>
    </row>
    <row r="81" spans="1:24" ht="21" customHeight="1">
      <c r="A81" s="118"/>
      <c r="B81" s="182"/>
      <c r="C81" s="556"/>
      <c r="D81" s="778"/>
      <c r="E81" s="55"/>
      <c r="F81" s="28"/>
      <c r="G81" s="284"/>
      <c r="H81" s="122"/>
      <c r="I81" s="20"/>
      <c r="J81" s="542"/>
      <c r="K81" s="21"/>
      <c r="L81" s="21"/>
      <c r="M81" s="542"/>
      <c r="N81" s="542"/>
      <c r="O81" s="542"/>
      <c r="P81" s="538"/>
      <c r="Q81" s="538"/>
      <c r="R81" s="542"/>
      <c r="S81" s="542"/>
      <c r="T81" s="542"/>
      <c r="U81" s="542"/>
      <c r="V81" s="23"/>
      <c r="W81" s="542"/>
      <c r="X81" s="93"/>
    </row>
    <row r="82" spans="1:24" ht="21" customHeight="1">
      <c r="A82" s="118"/>
      <c r="B82" s="88"/>
      <c r="C82" s="750" t="s">
        <v>434</v>
      </c>
      <c r="D82" s="169"/>
      <c r="E82" s="112">
        <f>E83+E85</f>
        <v>0</v>
      </c>
      <c r="F82" s="38">
        <v>0</v>
      </c>
      <c r="G82" s="651">
        <f>G83+G85</f>
        <v>0</v>
      </c>
      <c r="H82" s="120"/>
      <c r="I82" s="30"/>
      <c r="J82" s="528"/>
      <c r="K82" s="31"/>
      <c r="L82" s="31"/>
      <c r="M82" s="528"/>
      <c r="N82" s="528"/>
      <c r="O82" s="528"/>
      <c r="P82" s="83"/>
      <c r="Q82" s="83"/>
      <c r="R82" s="528"/>
      <c r="S82" s="528"/>
      <c r="T82" s="528"/>
      <c r="U82" s="528"/>
      <c r="V82" s="33"/>
      <c r="W82" s="528"/>
      <c r="X82" s="95"/>
    </row>
    <row r="83" spans="1:24" ht="21" customHeight="1">
      <c r="A83" s="16"/>
      <c r="B83" s="34"/>
      <c r="C83" s="751"/>
      <c r="D83" s="751" t="s">
        <v>78</v>
      </c>
      <c r="E83" s="49">
        <f>X83</f>
        <v>0</v>
      </c>
      <c r="F83" s="36">
        <v>0</v>
      </c>
      <c r="G83" s="647">
        <f>E83-F83</f>
        <v>0</v>
      </c>
      <c r="H83" s="119" t="s">
        <v>80</v>
      </c>
      <c r="I83" s="42"/>
      <c r="J83" s="361"/>
      <c r="K83" s="67"/>
      <c r="L83" s="67"/>
      <c r="M83" s="361"/>
      <c r="N83" s="361"/>
      <c r="O83" s="361"/>
      <c r="P83" s="84"/>
      <c r="Q83" s="84"/>
      <c r="R83" s="361"/>
      <c r="S83" s="361"/>
      <c r="T83" s="361"/>
      <c r="U83" s="361"/>
      <c r="V83" s="14"/>
      <c r="W83" s="361"/>
      <c r="X83" s="91"/>
    </row>
    <row r="84" spans="1:24" ht="21" customHeight="1">
      <c r="A84" s="118"/>
      <c r="B84" s="88"/>
      <c r="C84" s="556"/>
      <c r="D84" s="778"/>
      <c r="E84" s="55"/>
      <c r="F84" s="28"/>
      <c r="G84" s="284"/>
      <c r="H84" s="122"/>
      <c r="I84" s="20"/>
      <c r="J84" s="542"/>
      <c r="K84" s="21"/>
      <c r="L84" s="21"/>
      <c r="M84" s="542"/>
      <c r="N84" s="542"/>
      <c r="O84" s="542"/>
      <c r="P84" s="538"/>
      <c r="Q84" s="538"/>
      <c r="R84" s="542"/>
      <c r="S84" s="542"/>
      <c r="T84" s="542"/>
      <c r="U84" s="542"/>
      <c r="V84" s="23"/>
      <c r="W84" s="542"/>
      <c r="X84" s="93"/>
    </row>
    <row r="85" spans="1:24" ht="21" customHeight="1">
      <c r="A85" s="118"/>
      <c r="B85" s="88"/>
      <c r="C85" s="556"/>
      <c r="D85" s="750" t="s">
        <v>79</v>
      </c>
      <c r="E85" s="47">
        <f>X85</f>
        <v>0</v>
      </c>
      <c r="F85" s="58">
        <v>0</v>
      </c>
      <c r="G85" s="647">
        <f>E85-F85</f>
        <v>0</v>
      </c>
      <c r="H85" s="121" t="s">
        <v>82</v>
      </c>
      <c r="I85" s="69"/>
      <c r="J85" s="574"/>
      <c r="K85" s="102"/>
      <c r="L85" s="102"/>
      <c r="M85" s="574"/>
      <c r="N85" s="574"/>
      <c r="O85" s="574"/>
      <c r="P85" s="110"/>
      <c r="Q85" s="110"/>
      <c r="R85" s="574"/>
      <c r="S85" s="574"/>
      <c r="T85" s="574"/>
      <c r="U85" s="574"/>
      <c r="V85" s="48"/>
      <c r="W85" s="574"/>
      <c r="X85" s="59"/>
    </row>
    <row r="86" spans="1:24" ht="21" customHeight="1" thickBot="1">
      <c r="A86" s="126"/>
      <c r="B86" s="601"/>
      <c r="C86" s="167"/>
      <c r="D86" s="777"/>
      <c r="E86" s="114"/>
      <c r="F86" s="128"/>
      <c r="G86" s="291"/>
      <c r="H86" s="129"/>
      <c r="I86" s="115"/>
      <c r="J86" s="537"/>
      <c r="K86" s="116"/>
      <c r="L86" s="116"/>
      <c r="M86" s="537"/>
      <c r="N86" s="537"/>
      <c r="O86" s="537"/>
      <c r="P86" s="531"/>
      <c r="Q86" s="531"/>
      <c r="R86" s="537"/>
      <c r="S86" s="537"/>
      <c r="T86" s="537"/>
      <c r="U86" s="537"/>
      <c r="V86" s="86"/>
      <c r="W86" s="537"/>
      <c r="X86" s="117"/>
    </row>
    <row r="87" spans="1:24" ht="18" customHeight="1">
      <c r="A87" s="73" t="s">
        <v>74</v>
      </c>
      <c r="B87" s="193" t="s">
        <v>75</v>
      </c>
      <c r="C87" s="779" t="s">
        <v>282</v>
      </c>
      <c r="D87" s="599"/>
      <c r="E87" s="188">
        <f>E88</f>
        <v>0</v>
      </c>
      <c r="F87" s="600">
        <v>0</v>
      </c>
      <c r="G87" s="650">
        <f>G88</f>
        <v>0</v>
      </c>
      <c r="H87" s="602"/>
      <c r="I87" s="78"/>
      <c r="J87" s="79"/>
      <c r="K87" s="80"/>
      <c r="L87" s="80"/>
      <c r="M87" s="79"/>
      <c r="N87" s="79"/>
      <c r="O87" s="79"/>
      <c r="P87" s="81"/>
      <c r="Q87" s="81"/>
      <c r="R87" s="79"/>
      <c r="S87" s="79"/>
      <c r="T87" s="79"/>
      <c r="U87" s="79"/>
      <c r="V87" s="82"/>
      <c r="W87" s="79"/>
      <c r="X87" s="94"/>
    </row>
    <row r="88" spans="1:24" ht="18" customHeight="1">
      <c r="A88" s="118"/>
      <c r="B88" s="88"/>
      <c r="C88" s="751"/>
      <c r="D88" s="750" t="s">
        <v>283</v>
      </c>
      <c r="E88" s="47">
        <f>X88</f>
        <v>0</v>
      </c>
      <c r="F88" s="58">
        <v>0</v>
      </c>
      <c r="G88" s="647">
        <f>E88-F88</f>
        <v>0</v>
      </c>
      <c r="H88" s="121" t="s">
        <v>284</v>
      </c>
      <c r="I88" s="69"/>
      <c r="J88" s="574"/>
      <c r="K88" s="102"/>
      <c r="L88" s="102"/>
      <c r="M88" s="574"/>
      <c r="N88" s="574"/>
      <c r="O88" s="574"/>
      <c r="P88" s="110"/>
      <c r="Q88" s="110"/>
      <c r="R88" s="574"/>
      <c r="S88" s="574"/>
      <c r="T88" s="574"/>
      <c r="U88" s="574"/>
      <c r="V88" s="48"/>
      <c r="W88" s="574"/>
      <c r="X88" s="59"/>
    </row>
    <row r="89" spans="1:24" ht="18" customHeight="1" thickBot="1">
      <c r="A89" s="126"/>
      <c r="B89" s="249"/>
      <c r="C89" s="167"/>
      <c r="D89" s="777"/>
      <c r="E89" s="114"/>
      <c r="F89" s="128"/>
      <c r="G89" s="291"/>
      <c r="H89" s="129"/>
      <c r="I89" s="115"/>
      <c r="J89" s="537"/>
      <c r="K89" s="116"/>
      <c r="L89" s="116"/>
      <c r="M89" s="537"/>
      <c r="N89" s="537"/>
      <c r="O89" s="537"/>
      <c r="P89" s="531"/>
      <c r="Q89" s="531"/>
      <c r="R89" s="537"/>
      <c r="S89" s="537"/>
      <c r="T89" s="537"/>
      <c r="U89" s="537"/>
      <c r="V89" s="86"/>
      <c r="W89" s="537"/>
      <c r="X89" s="117"/>
    </row>
    <row r="90" spans="1:24" ht="20.25" customHeight="1">
      <c r="A90" s="73" t="s">
        <v>408</v>
      </c>
      <c r="B90" s="123"/>
      <c r="C90" s="176"/>
      <c r="D90" s="176"/>
      <c r="E90" s="243">
        <f>E91</f>
        <v>7059.31</v>
      </c>
      <c r="F90" s="240">
        <v>5647.31</v>
      </c>
      <c r="G90" s="649">
        <f>G91</f>
        <v>0</v>
      </c>
      <c r="H90" s="77"/>
      <c r="I90" s="78"/>
      <c r="J90" s="79"/>
      <c r="K90" s="80"/>
      <c r="L90" s="80"/>
      <c r="M90" s="79"/>
      <c r="N90" s="79"/>
      <c r="O90" s="79"/>
      <c r="P90" s="81"/>
      <c r="Q90" s="81"/>
      <c r="R90" s="79"/>
      <c r="S90" s="79"/>
      <c r="T90" s="79"/>
      <c r="U90" s="79"/>
      <c r="V90" s="82"/>
      <c r="W90" s="79"/>
      <c r="X90" s="94"/>
    </row>
    <row r="91" spans="1:24" ht="20.25" customHeight="1">
      <c r="A91" s="24"/>
      <c r="B91" s="46" t="s">
        <v>407</v>
      </c>
      <c r="C91" s="171"/>
      <c r="D91" s="555"/>
      <c r="E91" s="47">
        <f>SUM(E92,E95,E98)</f>
        <v>7059.31</v>
      </c>
      <c r="F91" s="69">
        <v>5647.31</v>
      </c>
      <c r="G91" s="647">
        <f>G92</f>
        <v>0</v>
      </c>
      <c r="H91" s="65"/>
      <c r="I91" s="69"/>
      <c r="J91" s="574"/>
      <c r="K91" s="102"/>
      <c r="L91" s="102"/>
      <c r="M91" s="574"/>
      <c r="N91" s="574"/>
      <c r="O91" s="574"/>
      <c r="P91" s="110"/>
      <c r="Q91" s="110"/>
      <c r="R91" s="574"/>
      <c r="S91" s="574"/>
      <c r="T91" s="574"/>
      <c r="U91" s="574"/>
      <c r="V91" s="48"/>
      <c r="W91" s="574"/>
      <c r="X91" s="59"/>
    </row>
    <row r="92" spans="1:24" ht="20.25" customHeight="1">
      <c r="A92" s="118"/>
      <c r="B92" s="88"/>
      <c r="C92" s="750" t="s">
        <v>92</v>
      </c>
      <c r="D92" s="169"/>
      <c r="E92" s="112">
        <f>SUM(E93)</f>
        <v>0</v>
      </c>
      <c r="F92" s="30">
        <v>0</v>
      </c>
      <c r="G92" s="648">
        <f>G93</f>
        <v>0</v>
      </c>
      <c r="H92" s="120"/>
      <c r="I92" s="30"/>
      <c r="J92" s="528"/>
      <c r="K92" s="31"/>
      <c r="L92" s="31"/>
      <c r="M92" s="528"/>
      <c r="N92" s="528"/>
      <c r="O92" s="528"/>
      <c r="P92" s="83"/>
      <c r="Q92" s="83"/>
      <c r="R92" s="528"/>
      <c r="S92" s="528"/>
      <c r="T92" s="528"/>
      <c r="U92" s="528"/>
      <c r="V92" s="33"/>
      <c r="W92" s="528"/>
      <c r="X92" s="95"/>
    </row>
    <row r="93" spans="1:24" ht="20.25" customHeight="1">
      <c r="A93" s="118"/>
      <c r="B93" s="88"/>
      <c r="C93" s="751"/>
      <c r="D93" s="750" t="s">
        <v>93</v>
      </c>
      <c r="E93" s="47">
        <f>X93</f>
        <v>0</v>
      </c>
      <c r="F93" s="69">
        <v>0</v>
      </c>
      <c r="G93" s="647">
        <f>E93-F93</f>
        <v>0</v>
      </c>
      <c r="H93" s="121" t="s">
        <v>97</v>
      </c>
      <c r="I93" s="69"/>
      <c r="J93" s="574"/>
      <c r="K93" s="102"/>
      <c r="L93" s="102"/>
      <c r="M93" s="574"/>
      <c r="N93" s="574"/>
      <c r="O93" s="574"/>
      <c r="P93" s="110"/>
      <c r="Q93" s="110"/>
      <c r="R93" s="574"/>
      <c r="S93" s="574"/>
      <c r="T93" s="574"/>
      <c r="U93" s="574"/>
      <c r="V93" s="48"/>
      <c r="W93" s="574"/>
      <c r="X93" s="59"/>
    </row>
    <row r="94" spans="1:24" ht="20.25" customHeight="1">
      <c r="A94" s="118"/>
      <c r="B94" s="88"/>
      <c r="C94" s="556"/>
      <c r="D94" s="778"/>
      <c r="E94" s="55"/>
      <c r="F94" s="20"/>
      <c r="G94" s="289"/>
      <c r="H94" s="122"/>
      <c r="I94" s="20"/>
      <c r="J94" s="542"/>
      <c r="K94" s="21"/>
      <c r="L94" s="21"/>
      <c r="M94" s="542"/>
      <c r="N94" s="542"/>
      <c r="O94" s="542"/>
      <c r="P94" s="538"/>
      <c r="Q94" s="538"/>
      <c r="R94" s="542"/>
      <c r="S94" s="542"/>
      <c r="T94" s="542"/>
      <c r="U94" s="542"/>
      <c r="V94" s="23"/>
      <c r="W94" s="542"/>
      <c r="X94" s="93"/>
    </row>
    <row r="95" spans="1:24" ht="20.25" customHeight="1">
      <c r="A95" s="118"/>
      <c r="B95" s="88"/>
      <c r="C95" s="750" t="s">
        <v>94</v>
      </c>
      <c r="D95" s="169"/>
      <c r="E95" s="112">
        <f>E96</f>
        <v>119.31</v>
      </c>
      <c r="F95" s="30">
        <v>107.31</v>
      </c>
      <c r="G95" s="648">
        <f>G96</f>
        <v>12</v>
      </c>
      <c r="H95" s="120"/>
      <c r="I95" s="30"/>
      <c r="J95" s="528"/>
      <c r="K95" s="31"/>
      <c r="L95" s="31"/>
      <c r="M95" s="528"/>
      <c r="N95" s="528"/>
      <c r="O95" s="528"/>
      <c r="P95" s="83"/>
      <c r="Q95" s="83"/>
      <c r="R95" s="528"/>
      <c r="S95" s="528"/>
      <c r="T95" s="528"/>
      <c r="U95" s="528"/>
      <c r="V95" s="33"/>
      <c r="W95" s="528"/>
      <c r="X95" s="95"/>
    </row>
    <row r="96" spans="1:24" ht="20.25" customHeight="1">
      <c r="A96" s="118"/>
      <c r="B96" s="88"/>
      <c r="C96" s="751"/>
      <c r="D96" s="750" t="s">
        <v>96</v>
      </c>
      <c r="E96" s="47">
        <f>P96/1000</f>
        <v>119.31</v>
      </c>
      <c r="F96" s="69">
        <v>107.31</v>
      </c>
      <c r="G96" s="647">
        <f>E96-F96</f>
        <v>12</v>
      </c>
      <c r="H96" s="121" t="s">
        <v>98</v>
      </c>
      <c r="I96" s="69"/>
      <c r="J96" s="574"/>
      <c r="K96" s="102"/>
      <c r="L96" s="102"/>
      <c r="M96" s="574"/>
      <c r="N96" s="574"/>
      <c r="O96" s="574"/>
      <c r="P96" s="791">
        <v>119310</v>
      </c>
      <c r="Q96" s="791"/>
      <c r="R96" s="791"/>
      <c r="S96" s="791"/>
      <c r="T96" s="791"/>
      <c r="U96" s="791"/>
      <c r="V96" s="791"/>
      <c r="W96" s="791"/>
      <c r="X96" s="792"/>
    </row>
    <row r="97" spans="1:24" ht="20.25" customHeight="1">
      <c r="A97" s="118"/>
      <c r="B97" s="88"/>
      <c r="C97" s="556"/>
      <c r="D97" s="778"/>
      <c r="E97" s="55"/>
      <c r="F97" s="20"/>
      <c r="G97" s="289"/>
      <c r="H97" s="122"/>
      <c r="I97" s="20"/>
      <c r="J97" s="542"/>
      <c r="K97" s="21"/>
      <c r="L97" s="21"/>
      <c r="M97" s="542"/>
      <c r="N97" s="542"/>
      <c r="O97" s="542"/>
      <c r="P97" s="538"/>
      <c r="Q97" s="538"/>
      <c r="R97" s="542"/>
      <c r="S97" s="542"/>
      <c r="T97" s="542"/>
      <c r="U97" s="542"/>
      <c r="V97" s="23"/>
      <c r="W97" s="542"/>
      <c r="X97" s="93"/>
    </row>
    <row r="98" spans="1:24" ht="20.25" customHeight="1">
      <c r="A98" s="118"/>
      <c r="B98" s="88"/>
      <c r="C98" s="750" t="s">
        <v>95</v>
      </c>
      <c r="D98" s="169"/>
      <c r="E98" s="112">
        <f>SUM(E99,E101)</f>
        <v>6940</v>
      </c>
      <c r="F98" s="30">
        <v>5540</v>
      </c>
      <c r="G98" s="647">
        <f>E98-F98</f>
        <v>1400</v>
      </c>
      <c r="H98" s="120"/>
      <c r="I98" s="30"/>
      <c r="J98" s="528"/>
      <c r="K98" s="31"/>
      <c r="L98" s="31"/>
      <c r="M98" s="528"/>
      <c r="N98" s="528"/>
      <c r="O98" s="528"/>
      <c r="P98" s="83"/>
      <c r="Q98" s="83"/>
      <c r="R98" s="528"/>
      <c r="S98" s="528"/>
      <c r="T98" s="528"/>
      <c r="U98" s="528"/>
      <c r="V98" s="33"/>
      <c r="W98" s="528"/>
      <c r="X98" s="95"/>
    </row>
    <row r="99" spans="1:24" ht="20.25" customHeight="1">
      <c r="A99" s="118"/>
      <c r="B99" s="88"/>
      <c r="C99" s="751"/>
      <c r="D99" s="750" t="s">
        <v>191</v>
      </c>
      <c r="E99" s="47">
        <f>X100/1000</f>
        <v>700</v>
      </c>
      <c r="F99" s="69">
        <v>500</v>
      </c>
      <c r="G99" s="647">
        <f>E99-F99</f>
        <v>200</v>
      </c>
      <c r="H99" s="773" t="s">
        <v>99</v>
      </c>
      <c r="I99" s="774"/>
      <c r="J99" s="774"/>
      <c r="K99" s="774"/>
      <c r="L99" s="774"/>
      <c r="M99" s="774"/>
      <c r="N99" s="774"/>
      <c r="O99" s="774"/>
      <c r="P99" s="774"/>
      <c r="Q99" s="774"/>
      <c r="R99" s="774"/>
      <c r="S99" s="774"/>
      <c r="T99" s="774"/>
      <c r="U99" s="774"/>
      <c r="V99" s="774"/>
      <c r="W99" s="574"/>
      <c r="X99" s="59"/>
    </row>
    <row r="100" spans="1:24" ht="20.25" customHeight="1">
      <c r="A100" s="118"/>
      <c r="B100" s="88"/>
      <c r="C100" s="556"/>
      <c r="D100" s="778"/>
      <c r="E100" s="49"/>
      <c r="F100" s="42"/>
      <c r="G100" s="288"/>
      <c r="H100" s="144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361"/>
      <c r="X100" s="91">
        <v>700000</v>
      </c>
    </row>
    <row r="101" spans="1:24" ht="20.25" customHeight="1">
      <c r="A101" s="118"/>
      <c r="B101" s="88"/>
      <c r="C101" s="556"/>
      <c r="D101" s="522" t="s">
        <v>185</v>
      </c>
      <c r="E101" s="47">
        <f>P101/1000</f>
        <v>6240</v>
      </c>
      <c r="F101" s="69">
        <v>5040</v>
      </c>
      <c r="G101" s="647">
        <f>E101-F101</f>
        <v>1200</v>
      </c>
      <c r="H101" s="841" t="s">
        <v>151</v>
      </c>
      <c r="I101" s="842"/>
      <c r="J101" s="842"/>
      <c r="K101" s="842"/>
      <c r="L101" s="842"/>
      <c r="M101" s="533"/>
      <c r="N101" s="533"/>
      <c r="O101" s="574"/>
      <c r="P101" s="791">
        <f>SUM(X102:X102)</f>
        <v>6240000</v>
      </c>
      <c r="Q101" s="791"/>
      <c r="R101" s="791"/>
      <c r="S101" s="791"/>
      <c r="T101" s="791"/>
      <c r="U101" s="791"/>
      <c r="V101" s="791"/>
      <c r="W101" s="791"/>
      <c r="X101" s="792"/>
    </row>
    <row r="102" spans="1:24" ht="20.25" customHeight="1" thickBot="1">
      <c r="A102" s="118"/>
      <c r="B102" s="88"/>
      <c r="C102" s="556"/>
      <c r="D102" s="521"/>
      <c r="E102" s="114"/>
      <c r="F102" s="42"/>
      <c r="G102" s="288"/>
      <c r="H102" s="144" t="s">
        <v>6</v>
      </c>
      <c r="I102" s="572">
        <v>40000</v>
      </c>
      <c r="J102" s="536" t="s">
        <v>3</v>
      </c>
      <c r="K102" s="766">
        <v>13</v>
      </c>
      <c r="L102" s="766"/>
      <c r="M102" s="536" t="s">
        <v>5</v>
      </c>
      <c r="N102" s="536" t="s">
        <v>3</v>
      </c>
      <c r="O102" s="536"/>
      <c r="P102" s="776">
        <v>12</v>
      </c>
      <c r="Q102" s="776"/>
      <c r="R102" s="789" t="s">
        <v>6</v>
      </c>
      <c r="S102" s="789"/>
      <c r="T102" s="536"/>
      <c r="U102" s="361" t="s">
        <v>4</v>
      </c>
      <c r="V102" s="361"/>
      <c r="W102" s="48"/>
      <c r="X102" s="91">
        <f>I102*K102*P102</f>
        <v>6240000</v>
      </c>
    </row>
    <row r="103" spans="1:24" ht="31.5" customHeight="1">
      <c r="A103" s="770"/>
      <c r="B103" s="485"/>
      <c r="C103" s="485"/>
      <c r="D103" s="485"/>
      <c r="E103" s="486"/>
      <c r="F103" s="486"/>
      <c r="G103" s="487"/>
      <c r="H103" s="488"/>
      <c r="I103" s="489"/>
      <c r="J103" s="489"/>
      <c r="K103" s="489"/>
      <c r="L103" s="489"/>
      <c r="M103" s="489"/>
      <c r="N103" s="489"/>
      <c r="O103" s="489"/>
      <c r="P103" s="489"/>
      <c r="Q103" s="489"/>
      <c r="R103" s="489"/>
      <c r="S103" s="489"/>
      <c r="T103" s="489"/>
      <c r="U103" s="489"/>
      <c r="V103" s="489"/>
      <c r="W103" s="489"/>
      <c r="X103" s="490"/>
    </row>
    <row r="104" spans="1:24" ht="28.5" customHeight="1">
      <c r="A104" s="771"/>
      <c r="B104" s="481"/>
      <c r="C104" s="481"/>
      <c r="D104" s="481"/>
      <c r="E104" s="482"/>
      <c r="F104" s="482"/>
      <c r="G104" s="483"/>
      <c r="H104" s="48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24"/>
    </row>
    <row r="105" spans="1:24" ht="154.5" customHeight="1" thickBot="1">
      <c r="A105" s="772"/>
      <c r="B105" s="491"/>
      <c r="C105" s="491"/>
      <c r="D105" s="491"/>
      <c r="E105" s="492"/>
      <c r="F105" s="492"/>
      <c r="G105" s="493"/>
      <c r="H105" s="49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25"/>
    </row>
    <row r="106" spans="1:24" ht="13.5">
      <c r="A106" s="2"/>
      <c r="B106" s="2"/>
      <c r="C106" s="2"/>
      <c r="D106" s="2"/>
      <c r="E106" s="2"/>
      <c r="F106" s="2"/>
      <c r="G106" s="29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3.5">
      <c r="A107" s="2"/>
      <c r="B107" s="2"/>
      <c r="C107" s="2"/>
      <c r="D107" s="2"/>
      <c r="E107" s="2"/>
      <c r="F107" s="2"/>
      <c r="G107" s="29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3.5">
      <c r="A108" s="2"/>
      <c r="B108" s="2"/>
      <c r="C108" s="2"/>
      <c r="D108" s="2"/>
      <c r="E108" s="2"/>
      <c r="F108" s="2"/>
      <c r="G108" s="29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3.5">
      <c r="A109" s="2"/>
      <c r="B109" s="2"/>
      <c r="C109" s="2"/>
      <c r="D109" s="2"/>
      <c r="E109" s="2"/>
      <c r="F109" s="2"/>
      <c r="G109" s="29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3.5">
      <c r="A110" s="2"/>
      <c r="B110" s="2"/>
      <c r="C110" s="2"/>
      <c r="D110" s="2"/>
      <c r="E110" s="2"/>
      <c r="F110" s="2"/>
      <c r="G110" s="29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</sheetData>
  <mergeCells count="135">
    <mergeCell ref="A1:X1"/>
    <mergeCell ref="A2:C2"/>
    <mergeCell ref="H3:X3"/>
    <mergeCell ref="A4:D4"/>
    <mergeCell ref="A5:A6"/>
    <mergeCell ref="B6:B7"/>
    <mergeCell ref="C7:C8"/>
    <mergeCell ref="H7:K7"/>
    <mergeCell ref="D8:D9"/>
    <mergeCell ref="H8:M8"/>
    <mergeCell ref="I14:S14"/>
    <mergeCell ref="I15:S15"/>
    <mergeCell ref="I16:S16"/>
    <mergeCell ref="V8:X8"/>
    <mergeCell ref="K9:L9"/>
    <mergeCell ref="A10:A11"/>
    <mergeCell ref="B11:B12"/>
    <mergeCell ref="C12:C13"/>
    <mergeCell ref="H12:I12"/>
    <mergeCell ref="H13:Q13"/>
    <mergeCell ref="T13:X13"/>
    <mergeCell ref="D24:D25"/>
    <mergeCell ref="H24:O24"/>
    <mergeCell ref="Q24:U24"/>
    <mergeCell ref="K25:L25"/>
    <mergeCell ref="O25:P25"/>
    <mergeCell ref="I20:S20"/>
    <mergeCell ref="I21:S21"/>
    <mergeCell ref="I22:S22"/>
    <mergeCell ref="I17:S17"/>
    <mergeCell ref="I18:S18"/>
    <mergeCell ref="I19:S19"/>
    <mergeCell ref="A30:A31"/>
    <mergeCell ref="B30:B31"/>
    <mergeCell ref="C30:C31"/>
    <mergeCell ref="D30:D31"/>
    <mergeCell ref="H30:O30"/>
    <mergeCell ref="Q30:U30"/>
    <mergeCell ref="K31:L31"/>
    <mergeCell ref="O31:P31"/>
    <mergeCell ref="K26:L26"/>
    <mergeCell ref="H27:O27"/>
    <mergeCell ref="Q27:X27"/>
    <mergeCell ref="K28:L28"/>
    <mergeCell ref="O28:P28"/>
    <mergeCell ref="K29:L29"/>
    <mergeCell ref="D38:D40"/>
    <mergeCell ref="H38:M38"/>
    <mergeCell ref="P38:X38"/>
    <mergeCell ref="K39:L39"/>
    <mergeCell ref="K40:L40"/>
    <mergeCell ref="K32:L32"/>
    <mergeCell ref="K34:L34"/>
    <mergeCell ref="H35:N35"/>
    <mergeCell ref="P35:X35"/>
    <mergeCell ref="K36:L36"/>
    <mergeCell ref="K37:L37"/>
    <mergeCell ref="D45:D46"/>
    <mergeCell ref="H45:M45"/>
    <mergeCell ref="P45:X45"/>
    <mergeCell ref="K46:L46"/>
    <mergeCell ref="C47:C48"/>
    <mergeCell ref="D48:D49"/>
    <mergeCell ref="H48:I48"/>
    <mergeCell ref="D41:D42"/>
    <mergeCell ref="H41:M41"/>
    <mergeCell ref="P41:X41"/>
    <mergeCell ref="K42:L42"/>
    <mergeCell ref="D43:D44"/>
    <mergeCell ref="H43:M43"/>
    <mergeCell ref="P43:X43"/>
    <mergeCell ref="K44:L44"/>
    <mergeCell ref="A58:A59"/>
    <mergeCell ref="B58:B59"/>
    <mergeCell ref="C58:C59"/>
    <mergeCell ref="D59:D60"/>
    <mergeCell ref="N60:O60"/>
    <mergeCell ref="P60:Q60"/>
    <mergeCell ref="C50:C51"/>
    <mergeCell ref="D51:D52"/>
    <mergeCell ref="H51:I51"/>
    <mergeCell ref="A53:A54"/>
    <mergeCell ref="B54:B55"/>
    <mergeCell ref="C55:C56"/>
    <mergeCell ref="D56:D57"/>
    <mergeCell ref="H59:S59"/>
    <mergeCell ref="C74:C75"/>
    <mergeCell ref="D75:D76"/>
    <mergeCell ref="Q75:V75"/>
    <mergeCell ref="C63:C64"/>
    <mergeCell ref="D64:D65"/>
    <mergeCell ref="C66:C67"/>
    <mergeCell ref="D67:D68"/>
    <mergeCell ref="C71:C72"/>
    <mergeCell ref="D72:D73"/>
    <mergeCell ref="A103:A105"/>
    <mergeCell ref="U14:X14"/>
    <mergeCell ref="U15:X15"/>
    <mergeCell ref="U16:X16"/>
    <mergeCell ref="U18:X18"/>
    <mergeCell ref="U19:X19"/>
    <mergeCell ref="U21:X21"/>
    <mergeCell ref="H101:L101"/>
    <mergeCell ref="P101:X101"/>
    <mergeCell ref="C92:C93"/>
    <mergeCell ref="D93:D94"/>
    <mergeCell ref="C95:C96"/>
    <mergeCell ref="D96:D97"/>
    <mergeCell ref="P96:X96"/>
    <mergeCell ref="C98:C99"/>
    <mergeCell ref="D99:D100"/>
    <mergeCell ref="H99:V99"/>
    <mergeCell ref="C79:C80"/>
    <mergeCell ref="D80:D81"/>
    <mergeCell ref="C82:C83"/>
    <mergeCell ref="D83:D84"/>
    <mergeCell ref="D85:D86"/>
    <mergeCell ref="C87:C88"/>
    <mergeCell ref="D88:D89"/>
    <mergeCell ref="U59:X59"/>
    <mergeCell ref="U17:X17"/>
    <mergeCell ref="U20:X20"/>
    <mergeCell ref="U22:X22"/>
    <mergeCell ref="U23:X23"/>
    <mergeCell ref="H56:S56"/>
    <mergeCell ref="U56:X56"/>
    <mergeCell ref="K102:L102"/>
    <mergeCell ref="P102:Q102"/>
    <mergeCell ref="R102:S102"/>
    <mergeCell ref="Q72:X72"/>
    <mergeCell ref="N73:O73"/>
    <mergeCell ref="P73:Q73"/>
    <mergeCell ref="N57:O57"/>
    <mergeCell ref="P57:Q57"/>
    <mergeCell ref="I23:S23"/>
  </mergeCells>
  <printOptions/>
  <pageMargins left="0.7480314960629921" right="0.3937007874015748" top="0.5511811023622047" bottom="0.31496062992125984" header="0.5905511811023623" footer="0.1968503937007874"/>
  <pageSetup horizontalDpi="600" verticalDpi="600" orientation="landscape" paperSize="9" scale="84" r:id="rId1"/>
  <headerFooter alignWithMargins="0">
    <oddFooter>&amp;R엘림믿음의집 세입-&amp;P</oddFooter>
  </headerFooter>
  <rowBreaks count="3" manualBreakCount="3">
    <brk id="29" max="16383" man="1"/>
    <brk id="57" max="16383" man="1"/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200"/>
  <sheetViews>
    <sheetView view="pageBreakPreview" zoomScale="85" zoomScaleSheetLayoutView="85" workbookViewId="0" topLeftCell="A1">
      <selection activeCell="F15" sqref="F15"/>
    </sheetView>
  </sheetViews>
  <sheetFormatPr defaultColWidth="8.88671875" defaultRowHeight="13.5"/>
  <cols>
    <col min="1" max="1" width="8.10546875" style="0" customWidth="1"/>
    <col min="2" max="2" width="8.3359375" style="0" customWidth="1"/>
    <col min="3" max="3" width="9.6640625" style="0" customWidth="1"/>
    <col min="4" max="4" width="9.21484375" style="0" customWidth="1"/>
    <col min="5" max="6" width="12.99609375" style="0" customWidth="1"/>
    <col min="7" max="7" width="9.10546875" style="0" customWidth="1"/>
    <col min="8" max="8" width="12.4453125" style="0" customWidth="1"/>
    <col min="9" max="9" width="11.3359375" style="0" customWidth="1"/>
    <col min="10" max="10" width="2.10546875" style="0" customWidth="1"/>
    <col min="11" max="11" width="1.99609375" style="0" customWidth="1"/>
    <col min="12" max="12" width="2.5546875" style="0" customWidth="1"/>
    <col min="13" max="13" width="2.10546875" style="0" customWidth="1"/>
    <col min="14" max="14" width="2.99609375" style="0" customWidth="1"/>
    <col min="15" max="15" width="2.77734375" style="0" customWidth="1"/>
    <col min="16" max="16" width="2.99609375" style="0" customWidth="1"/>
    <col min="17" max="17" width="3.4453125" style="0" customWidth="1"/>
    <col min="18" max="18" width="1.4375" style="0" customWidth="1"/>
    <col min="19" max="19" width="3.3359375" style="0" customWidth="1"/>
    <col min="20" max="20" width="1.88671875" style="0" customWidth="1"/>
    <col min="21" max="21" width="2.21484375" style="0" customWidth="1"/>
    <col min="22" max="22" width="2.3359375" style="0" customWidth="1"/>
    <col min="23" max="23" width="2.5546875" style="0" hidden="1" customWidth="1"/>
    <col min="24" max="25" width="11.21484375" style="0" customWidth="1"/>
    <col min="26" max="26" width="12.6640625" style="0" bestFit="1" customWidth="1"/>
  </cols>
  <sheetData>
    <row r="1" spans="1:25" s="3" customFormat="1" ht="35.25" customHeight="1">
      <c r="A1" s="752" t="s">
        <v>485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526"/>
    </row>
    <row r="2" spans="1:25" s="3" customFormat="1" ht="18.75" customHeight="1" thickBot="1">
      <c r="A2" s="823"/>
      <c r="B2" s="823"/>
      <c r="C2" s="823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15" t="s">
        <v>449</v>
      </c>
      <c r="Y2" s="15"/>
    </row>
    <row r="3" spans="1:25" ht="29.25" customHeight="1" thickBot="1">
      <c r="A3" s="101" t="s">
        <v>0</v>
      </c>
      <c r="B3" s="525" t="s">
        <v>1</v>
      </c>
      <c r="C3" s="525" t="s">
        <v>2</v>
      </c>
      <c r="D3" s="525" t="s">
        <v>41</v>
      </c>
      <c r="E3" s="642" t="s">
        <v>466</v>
      </c>
      <c r="F3" s="643" t="s">
        <v>467</v>
      </c>
      <c r="G3" s="660" t="s">
        <v>468</v>
      </c>
      <c r="H3" s="748" t="s">
        <v>42</v>
      </c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9"/>
      <c r="Y3" s="676"/>
    </row>
    <row r="4" spans="1:25" s="4" customFormat="1" ht="30" customHeight="1" thickBot="1">
      <c r="A4" s="850" t="s">
        <v>50</v>
      </c>
      <c r="B4" s="851"/>
      <c r="C4" s="851"/>
      <c r="D4" s="852"/>
      <c r="E4" s="203">
        <f>SUM(E5,E94,E108,E174,E182,E187,E169)</f>
        <v>730000.34</v>
      </c>
      <c r="F4" s="203">
        <f>SUM(F5,F94,F108,F174,F182,F187,F169)</f>
        <v>549199.9999999999</v>
      </c>
      <c r="G4" s="678">
        <f>G5+G94+G108+G169+G174+G182+G187</f>
        <v>180180.34</v>
      </c>
      <c r="H4" s="196"/>
      <c r="I4" s="197"/>
      <c r="J4" s="198"/>
      <c r="K4" s="199"/>
      <c r="L4" s="199"/>
      <c r="M4" s="198"/>
      <c r="N4" s="198"/>
      <c r="O4" s="198"/>
      <c r="P4" s="200"/>
      <c r="Q4" s="200"/>
      <c r="R4" s="198"/>
      <c r="S4" s="198"/>
      <c r="T4" s="198"/>
      <c r="U4" s="198"/>
      <c r="V4" s="198"/>
      <c r="W4" s="201"/>
      <c r="X4" s="202"/>
      <c r="Y4" s="677">
        <f>E4-F4</f>
        <v>180800.34000000008</v>
      </c>
    </row>
    <row r="5" spans="1:25" ht="26.25" customHeight="1">
      <c r="A5" s="39" t="s">
        <v>100</v>
      </c>
      <c r="B5" s="40"/>
      <c r="C5" s="17"/>
      <c r="D5" s="18"/>
      <c r="E5" s="243">
        <f>SUM(E6,E63,E70)</f>
        <v>545097.52</v>
      </c>
      <c r="F5" s="243">
        <f aca="true" t="shared" si="0" ref="F5:G5">SUM(F6,F63,F70)</f>
        <v>431711.17999999993</v>
      </c>
      <c r="G5" s="681">
        <f t="shared" si="0"/>
        <v>113386.34</v>
      </c>
      <c r="H5" s="672">
        <f>E5-F5</f>
        <v>113386.34000000008</v>
      </c>
      <c r="I5" s="20"/>
      <c r="J5" s="542"/>
      <c r="K5" s="41"/>
      <c r="L5" s="41"/>
      <c r="M5" s="542"/>
      <c r="N5" s="542"/>
      <c r="O5" s="542"/>
      <c r="P5" s="22"/>
      <c r="Q5" s="22"/>
      <c r="R5" s="542"/>
      <c r="S5" s="542"/>
      <c r="T5" s="542"/>
      <c r="U5" s="542"/>
      <c r="V5" s="542"/>
      <c r="W5" s="23"/>
      <c r="X5" s="99"/>
      <c r="Y5" s="677">
        <f aca="true" t="shared" si="1" ref="Y5:Y68">E5-F5</f>
        <v>113386.34000000008</v>
      </c>
    </row>
    <row r="6" spans="1:26" ht="26.25" customHeight="1">
      <c r="A6" s="24"/>
      <c r="B6" s="530" t="s">
        <v>101</v>
      </c>
      <c r="C6" s="25"/>
      <c r="D6" s="37"/>
      <c r="E6" s="112">
        <f>SUM(E7,E19,E22,E25,E46,E49,E60)</f>
        <v>520737.52</v>
      </c>
      <c r="F6" s="112">
        <f aca="true" t="shared" si="2" ref="F6:G6">SUM(F7,F19,F22,F25,F46,F49,F60)</f>
        <v>413451.17999999993</v>
      </c>
      <c r="G6" s="682">
        <f t="shared" si="2"/>
        <v>107286.34</v>
      </c>
      <c r="H6" s="673">
        <f>E6-F6</f>
        <v>107286.34000000008</v>
      </c>
      <c r="I6" s="30"/>
      <c r="J6" s="528"/>
      <c r="K6" s="31"/>
      <c r="L6" s="31"/>
      <c r="M6" s="528"/>
      <c r="N6" s="528"/>
      <c r="O6" s="528"/>
      <c r="P6" s="32"/>
      <c r="Q6" s="32"/>
      <c r="R6" s="528"/>
      <c r="S6" s="528"/>
      <c r="T6" s="528"/>
      <c r="U6" s="528"/>
      <c r="V6" s="528"/>
      <c r="W6" s="33"/>
      <c r="X6" s="98"/>
      <c r="Y6" s="677">
        <f t="shared" si="1"/>
        <v>107286.34000000008</v>
      </c>
      <c r="Z6" s="271" t="e">
        <f>#REF!-'세출예산 (2)'!E6</f>
        <v>#REF!</v>
      </c>
    </row>
    <row r="7" spans="1:25" ht="26.25" customHeight="1">
      <c r="A7" s="87"/>
      <c r="B7" s="34"/>
      <c r="C7" s="68" t="s">
        <v>102</v>
      </c>
      <c r="D7" s="37"/>
      <c r="E7" s="112">
        <f>E8</f>
        <v>326952</v>
      </c>
      <c r="F7" s="112">
        <f>F8</f>
        <v>245616</v>
      </c>
      <c r="G7" s="683">
        <f>G8</f>
        <v>81336</v>
      </c>
      <c r="H7" s="674">
        <f>E7-F7</f>
        <v>81336</v>
      </c>
      <c r="I7" s="671"/>
      <c r="J7" s="528"/>
      <c r="K7" s="31"/>
      <c r="L7" s="31"/>
      <c r="M7" s="528"/>
      <c r="N7" s="528"/>
      <c r="O7" s="528"/>
      <c r="P7" s="32"/>
      <c r="Q7" s="32"/>
      <c r="R7" s="528"/>
      <c r="S7" s="528"/>
      <c r="T7" s="528"/>
      <c r="U7" s="528"/>
      <c r="V7" s="528"/>
      <c r="W7" s="33"/>
      <c r="X7" s="98"/>
      <c r="Y7" s="677">
        <f t="shared" si="1"/>
        <v>81336</v>
      </c>
    </row>
    <row r="8" spans="1:30" ht="26.25" customHeight="1">
      <c r="A8" s="24"/>
      <c r="B8" s="546"/>
      <c r="C8" s="34"/>
      <c r="D8" s="312" t="s">
        <v>103</v>
      </c>
      <c r="E8" s="47">
        <f>T8/1000</f>
        <v>326952</v>
      </c>
      <c r="F8" s="47">
        <v>245616</v>
      </c>
      <c r="G8" s="647">
        <f>E8-F8</f>
        <v>81336</v>
      </c>
      <c r="H8" s="760" t="s">
        <v>481</v>
      </c>
      <c r="I8" s="761"/>
      <c r="J8" s="761"/>
      <c r="K8" s="761"/>
      <c r="L8" s="761"/>
      <c r="M8" s="761"/>
      <c r="N8" s="761"/>
      <c r="O8" s="761"/>
      <c r="P8" s="761"/>
      <c r="Q8" s="761"/>
      <c r="R8" s="153"/>
      <c r="S8" s="43"/>
      <c r="T8" s="768">
        <f>SUM(X9:X18)</f>
        <v>326952000</v>
      </c>
      <c r="U8" s="768"/>
      <c r="V8" s="768"/>
      <c r="W8" s="768"/>
      <c r="X8" s="769"/>
      <c r="Y8" s="677">
        <f t="shared" si="1"/>
        <v>81336</v>
      </c>
      <c r="Z8" s="6"/>
      <c r="AA8" s="6"/>
      <c r="AB8" s="6"/>
      <c r="AC8" s="6"/>
      <c r="AD8" s="9"/>
    </row>
    <row r="9" spans="1:30" ht="23.25" customHeight="1">
      <c r="A9" s="24"/>
      <c r="B9" s="546"/>
      <c r="C9" s="34"/>
      <c r="D9" s="312"/>
      <c r="E9" s="49"/>
      <c r="F9" s="49"/>
      <c r="G9" s="547"/>
      <c r="H9" s="364" t="s">
        <v>473</v>
      </c>
      <c r="I9" s="44">
        <v>2721000</v>
      </c>
      <c r="J9" s="536" t="s">
        <v>3</v>
      </c>
      <c r="K9" s="237">
        <v>1</v>
      </c>
      <c r="L9" s="237"/>
      <c r="M9" s="789" t="s">
        <v>5</v>
      </c>
      <c r="N9" s="789"/>
      <c r="O9" s="536" t="s">
        <v>3</v>
      </c>
      <c r="P9" s="306">
        <v>12</v>
      </c>
      <c r="Q9" s="306"/>
      <c r="R9" s="789" t="s">
        <v>6</v>
      </c>
      <c r="S9" s="789"/>
      <c r="T9" s="536"/>
      <c r="U9" s="361" t="s">
        <v>4</v>
      </c>
      <c r="V9" s="45"/>
      <c r="W9" s="536" t="s">
        <v>4</v>
      </c>
      <c r="X9" s="100">
        <f aca="true" t="shared" si="3" ref="X9:X18">I9*K9*P9</f>
        <v>32652000</v>
      </c>
      <c r="Y9" s="677">
        <f t="shared" si="1"/>
        <v>0</v>
      </c>
      <c r="Z9" s="7"/>
      <c r="AA9" s="7"/>
      <c r="AB9" s="7"/>
      <c r="AC9" s="7"/>
      <c r="AD9" s="251"/>
    </row>
    <row r="10" spans="1:30" ht="23.25" customHeight="1">
      <c r="A10" s="24"/>
      <c r="B10" s="546"/>
      <c r="C10" s="34"/>
      <c r="D10" s="312"/>
      <c r="E10" s="49"/>
      <c r="F10" s="49"/>
      <c r="G10" s="547"/>
      <c r="H10" s="364" t="s">
        <v>474</v>
      </c>
      <c r="I10" s="44">
        <v>2436000</v>
      </c>
      <c r="J10" s="536" t="s">
        <v>3</v>
      </c>
      <c r="K10" s="237">
        <v>1</v>
      </c>
      <c r="L10" s="237"/>
      <c r="M10" s="789" t="s">
        <v>5</v>
      </c>
      <c r="N10" s="789"/>
      <c r="O10" s="536" t="s">
        <v>3</v>
      </c>
      <c r="P10" s="306">
        <v>12</v>
      </c>
      <c r="Q10" s="306"/>
      <c r="R10" s="789" t="s">
        <v>6</v>
      </c>
      <c r="S10" s="789"/>
      <c r="T10" s="536"/>
      <c r="U10" s="361" t="s">
        <v>4</v>
      </c>
      <c r="V10" s="45"/>
      <c r="W10" s="536" t="s">
        <v>4</v>
      </c>
      <c r="X10" s="100">
        <f t="shared" si="3"/>
        <v>29232000</v>
      </c>
      <c r="Y10" s="677">
        <f t="shared" si="1"/>
        <v>0</v>
      </c>
      <c r="Z10" s="7"/>
      <c r="AA10" s="7"/>
      <c r="AB10" s="7"/>
      <c r="AC10" s="7"/>
      <c r="AD10" s="251"/>
    </row>
    <row r="11" spans="1:30" ht="23.25" customHeight="1">
      <c r="A11" s="24"/>
      <c r="B11" s="546"/>
      <c r="C11" s="34"/>
      <c r="D11" s="312"/>
      <c r="E11" s="49"/>
      <c r="F11" s="49"/>
      <c r="G11" s="547"/>
      <c r="H11" s="364" t="s">
        <v>475</v>
      </c>
      <c r="I11" s="44">
        <v>2207000</v>
      </c>
      <c r="J11" s="536" t="s">
        <v>3</v>
      </c>
      <c r="K11" s="237">
        <v>1</v>
      </c>
      <c r="L11" s="237"/>
      <c r="M11" s="789" t="s">
        <v>5</v>
      </c>
      <c r="N11" s="789"/>
      <c r="O11" s="536" t="s">
        <v>3</v>
      </c>
      <c r="P11" s="306">
        <v>12</v>
      </c>
      <c r="Q11" s="306"/>
      <c r="R11" s="789" t="s">
        <v>6</v>
      </c>
      <c r="S11" s="789"/>
      <c r="T11" s="536"/>
      <c r="U11" s="361" t="s">
        <v>4</v>
      </c>
      <c r="V11" s="45"/>
      <c r="W11" s="536" t="s">
        <v>4</v>
      </c>
      <c r="X11" s="100">
        <f t="shared" si="3"/>
        <v>26484000</v>
      </c>
      <c r="Y11" s="677">
        <f t="shared" si="1"/>
        <v>0</v>
      </c>
      <c r="Z11" s="7"/>
      <c r="AA11" s="7"/>
      <c r="AB11" s="7"/>
      <c r="AC11" s="7"/>
      <c r="AD11" s="251"/>
    </row>
    <row r="12" spans="1:30" ht="23.25" customHeight="1">
      <c r="A12" s="24"/>
      <c r="B12" s="546"/>
      <c r="C12" s="34"/>
      <c r="D12" s="312"/>
      <c r="E12" s="49"/>
      <c r="F12" s="49"/>
      <c r="G12" s="547"/>
      <c r="H12" s="364" t="s">
        <v>447</v>
      </c>
      <c r="I12" s="44">
        <v>2440000</v>
      </c>
      <c r="J12" s="536" t="s">
        <v>3</v>
      </c>
      <c r="K12" s="237">
        <v>1</v>
      </c>
      <c r="L12" s="237"/>
      <c r="M12" s="789" t="s">
        <v>5</v>
      </c>
      <c r="N12" s="789"/>
      <c r="O12" s="536" t="s">
        <v>3</v>
      </c>
      <c r="P12" s="306">
        <v>12</v>
      </c>
      <c r="Q12" s="306"/>
      <c r="R12" s="789" t="s">
        <v>6</v>
      </c>
      <c r="S12" s="789"/>
      <c r="T12" s="536"/>
      <c r="U12" s="361" t="s">
        <v>4</v>
      </c>
      <c r="V12" s="45"/>
      <c r="W12" s="536" t="s">
        <v>4</v>
      </c>
      <c r="X12" s="100">
        <f aca="true" t="shared" si="4" ref="X12">I12*K12*P12</f>
        <v>29280000</v>
      </c>
      <c r="Y12" s="677">
        <f t="shared" si="1"/>
        <v>0</v>
      </c>
      <c r="Z12" s="7"/>
      <c r="AA12" s="7"/>
      <c r="AB12" s="7"/>
      <c r="AC12" s="7"/>
      <c r="AD12" s="251"/>
    </row>
    <row r="13" spans="1:30" ht="23.25" customHeight="1">
      <c r="A13" s="24"/>
      <c r="B13" s="546"/>
      <c r="C13" s="34"/>
      <c r="D13" s="312"/>
      <c r="E13" s="49"/>
      <c r="F13" s="49"/>
      <c r="G13" s="547"/>
      <c r="H13" s="570" t="s">
        <v>476</v>
      </c>
      <c r="I13" s="572">
        <v>1949000</v>
      </c>
      <c r="J13" s="536" t="s">
        <v>3</v>
      </c>
      <c r="K13" s="237">
        <v>4</v>
      </c>
      <c r="L13" s="237"/>
      <c r="M13" s="789" t="s">
        <v>5</v>
      </c>
      <c r="N13" s="789"/>
      <c r="O13" s="536" t="s">
        <v>3</v>
      </c>
      <c r="P13" s="306">
        <v>12</v>
      </c>
      <c r="Q13" s="306"/>
      <c r="R13" s="789" t="s">
        <v>6</v>
      </c>
      <c r="S13" s="789"/>
      <c r="T13" s="536"/>
      <c r="U13" s="361" t="s">
        <v>4</v>
      </c>
      <c r="V13" s="45"/>
      <c r="W13" s="536" t="s">
        <v>4</v>
      </c>
      <c r="X13" s="100">
        <f t="shared" si="3"/>
        <v>93552000</v>
      </c>
      <c r="Y13" s="677">
        <f t="shared" si="1"/>
        <v>0</v>
      </c>
      <c r="Z13" s="7"/>
      <c r="AA13" s="7"/>
      <c r="AB13" s="7"/>
      <c r="AC13" s="7"/>
      <c r="AD13" s="251"/>
    </row>
    <row r="14" spans="1:30" ht="23.25" customHeight="1">
      <c r="A14" s="24"/>
      <c r="B14" s="546"/>
      <c r="C14" s="34"/>
      <c r="D14" s="312"/>
      <c r="E14" s="49"/>
      <c r="F14" s="49"/>
      <c r="G14" s="547"/>
      <c r="H14" s="570" t="s">
        <v>477</v>
      </c>
      <c r="I14" s="572">
        <v>1744000</v>
      </c>
      <c r="J14" s="536" t="s">
        <v>3</v>
      </c>
      <c r="K14" s="237">
        <v>1</v>
      </c>
      <c r="L14" s="237"/>
      <c r="M14" s="789" t="s">
        <v>5</v>
      </c>
      <c r="N14" s="789"/>
      <c r="O14" s="536" t="s">
        <v>3</v>
      </c>
      <c r="P14" s="306">
        <v>12</v>
      </c>
      <c r="Q14" s="306"/>
      <c r="R14" s="789" t="s">
        <v>6</v>
      </c>
      <c r="S14" s="789"/>
      <c r="T14" s="536"/>
      <c r="U14" s="361" t="s">
        <v>4</v>
      </c>
      <c r="V14" s="361"/>
      <c r="W14" s="14"/>
      <c r="X14" s="100">
        <f>I14*K14*P14</f>
        <v>20928000</v>
      </c>
      <c r="Y14" s="677">
        <f t="shared" si="1"/>
        <v>0</v>
      </c>
      <c r="Z14" s="7"/>
      <c r="AA14" s="7"/>
      <c r="AB14" s="7"/>
      <c r="AC14" s="7"/>
      <c r="AD14" s="10"/>
    </row>
    <row r="15" spans="1:30" ht="23.25" customHeight="1">
      <c r="A15" s="24"/>
      <c r="B15" s="546"/>
      <c r="C15" s="34"/>
      <c r="D15" s="312"/>
      <c r="E15" s="49"/>
      <c r="F15" s="49"/>
      <c r="G15" s="547"/>
      <c r="H15" s="570" t="s">
        <v>477</v>
      </c>
      <c r="I15" s="572">
        <v>1744000</v>
      </c>
      <c r="J15" s="536" t="s">
        <v>3</v>
      </c>
      <c r="K15" s="237">
        <v>1</v>
      </c>
      <c r="L15" s="237"/>
      <c r="M15" s="789" t="s">
        <v>5</v>
      </c>
      <c r="N15" s="789"/>
      <c r="O15" s="536" t="s">
        <v>3</v>
      </c>
      <c r="P15" s="306">
        <v>12</v>
      </c>
      <c r="Q15" s="306"/>
      <c r="R15" s="789" t="s">
        <v>6</v>
      </c>
      <c r="S15" s="789"/>
      <c r="T15" s="536"/>
      <c r="U15" s="361" t="s">
        <v>4</v>
      </c>
      <c r="V15" s="361"/>
      <c r="W15" s="14"/>
      <c r="X15" s="100">
        <f>I15*K15*P15</f>
        <v>20928000</v>
      </c>
      <c r="Y15" s="677">
        <f t="shared" si="1"/>
        <v>0</v>
      </c>
      <c r="Z15" s="7"/>
      <c r="AA15" s="7"/>
      <c r="AB15" s="7"/>
      <c r="AC15" s="7"/>
      <c r="AD15" s="10"/>
    </row>
    <row r="16" spans="1:30" ht="23.25" customHeight="1">
      <c r="A16" s="24"/>
      <c r="B16" s="546"/>
      <c r="C16" s="34"/>
      <c r="D16" s="312"/>
      <c r="E16" s="49"/>
      <c r="F16" s="49"/>
      <c r="G16" s="547"/>
      <c r="H16" s="570" t="s">
        <v>478</v>
      </c>
      <c r="I16" s="572">
        <v>2207000</v>
      </c>
      <c r="J16" s="536" t="s">
        <v>3</v>
      </c>
      <c r="K16" s="237">
        <v>1</v>
      </c>
      <c r="L16" s="237"/>
      <c r="M16" s="789" t="s">
        <v>5</v>
      </c>
      <c r="N16" s="789"/>
      <c r="O16" s="536" t="s">
        <v>3</v>
      </c>
      <c r="P16" s="306">
        <v>12</v>
      </c>
      <c r="Q16" s="306"/>
      <c r="R16" s="789" t="s">
        <v>6</v>
      </c>
      <c r="S16" s="789"/>
      <c r="T16" s="536"/>
      <c r="U16" s="361" t="s">
        <v>4</v>
      </c>
      <c r="V16" s="361"/>
      <c r="W16" s="14"/>
      <c r="X16" s="100">
        <f t="shared" si="3"/>
        <v>26484000</v>
      </c>
      <c r="Y16" s="677">
        <f t="shared" si="1"/>
        <v>0</v>
      </c>
      <c r="Z16" s="7"/>
      <c r="AA16" s="7"/>
      <c r="AB16" s="7"/>
      <c r="AC16" s="7"/>
      <c r="AD16" s="10"/>
    </row>
    <row r="17" spans="1:30" ht="23.25" customHeight="1">
      <c r="A17" s="24"/>
      <c r="B17" s="546"/>
      <c r="C17" s="34"/>
      <c r="D17" s="312"/>
      <c r="E17" s="49"/>
      <c r="F17" s="49"/>
      <c r="G17" s="547"/>
      <c r="H17" s="570" t="s">
        <v>479</v>
      </c>
      <c r="I17" s="572">
        <v>2207000</v>
      </c>
      <c r="J17" s="536" t="s">
        <v>3</v>
      </c>
      <c r="K17" s="237">
        <v>1</v>
      </c>
      <c r="L17" s="237"/>
      <c r="M17" s="789" t="s">
        <v>5</v>
      </c>
      <c r="N17" s="789"/>
      <c r="O17" s="536" t="s">
        <v>3</v>
      </c>
      <c r="P17" s="306">
        <v>12</v>
      </c>
      <c r="Q17" s="306"/>
      <c r="R17" s="789" t="s">
        <v>6</v>
      </c>
      <c r="S17" s="789"/>
      <c r="T17" s="536"/>
      <c r="U17" s="361" t="s">
        <v>4</v>
      </c>
      <c r="V17" s="361"/>
      <c r="W17" s="14"/>
      <c r="X17" s="100">
        <f t="shared" si="3"/>
        <v>26484000</v>
      </c>
      <c r="Y17" s="677">
        <f t="shared" si="1"/>
        <v>0</v>
      </c>
      <c r="Z17" s="7"/>
      <c r="AA17" s="7"/>
      <c r="AB17" s="7"/>
      <c r="AC17" s="7"/>
      <c r="AD17" s="10"/>
    </row>
    <row r="18" spans="1:30" ht="23.25" customHeight="1">
      <c r="A18" s="24"/>
      <c r="B18" s="546"/>
      <c r="C18" s="34"/>
      <c r="D18" s="312"/>
      <c r="E18" s="49"/>
      <c r="F18" s="49"/>
      <c r="G18" s="547"/>
      <c r="H18" s="570" t="s">
        <v>480</v>
      </c>
      <c r="I18" s="572">
        <v>1744000</v>
      </c>
      <c r="J18" s="536" t="s">
        <v>3</v>
      </c>
      <c r="K18" s="305">
        <v>1</v>
      </c>
      <c r="L18" s="305"/>
      <c r="M18" s="789" t="s">
        <v>5</v>
      </c>
      <c r="N18" s="789"/>
      <c r="O18" s="536" t="s">
        <v>3</v>
      </c>
      <c r="P18" s="495">
        <v>12</v>
      </c>
      <c r="Q18" s="495"/>
      <c r="R18" s="789" t="s">
        <v>6</v>
      </c>
      <c r="S18" s="789"/>
      <c r="T18" s="536"/>
      <c r="U18" s="361" t="s">
        <v>4</v>
      </c>
      <c r="V18" s="361"/>
      <c r="W18" s="14"/>
      <c r="X18" s="100">
        <f t="shared" si="3"/>
        <v>20928000</v>
      </c>
      <c r="Y18" s="677">
        <f t="shared" si="1"/>
        <v>0</v>
      </c>
      <c r="Z18" s="11"/>
      <c r="AA18" s="11"/>
      <c r="AB18" s="11"/>
      <c r="AC18" s="11"/>
      <c r="AD18" s="10">
        <f aca="true" t="shared" si="5" ref="AD18">I18*K18*P18</f>
        <v>20928000</v>
      </c>
    </row>
    <row r="19" spans="1:25" ht="26.25" customHeight="1">
      <c r="A19" s="24"/>
      <c r="B19" s="546"/>
      <c r="C19" s="46" t="s">
        <v>104</v>
      </c>
      <c r="D19" s="313"/>
      <c r="E19" s="112">
        <f>E20</f>
        <v>0</v>
      </c>
      <c r="F19" s="112">
        <v>0</v>
      </c>
      <c r="G19" s="658">
        <f>G20</f>
        <v>0</v>
      </c>
      <c r="H19" s="252"/>
      <c r="I19" s="136"/>
      <c r="J19" s="137"/>
      <c r="K19" s="89"/>
      <c r="L19" s="89"/>
      <c r="M19" s="137"/>
      <c r="N19" s="137"/>
      <c r="O19" s="137"/>
      <c r="P19" s="139"/>
      <c r="Q19" s="139"/>
      <c r="R19" s="137"/>
      <c r="S19" s="137"/>
      <c r="T19" s="137"/>
      <c r="U19" s="528"/>
      <c r="V19" s="528"/>
      <c r="W19" s="33"/>
      <c r="X19" s="98"/>
      <c r="Y19" s="677">
        <f t="shared" si="1"/>
        <v>0</v>
      </c>
    </row>
    <row r="20" spans="1:25" ht="26.25" customHeight="1">
      <c r="A20" s="24"/>
      <c r="B20" s="546"/>
      <c r="C20" s="546"/>
      <c r="D20" s="314" t="s">
        <v>451</v>
      </c>
      <c r="E20" s="47">
        <f>X20/1000</f>
        <v>0</v>
      </c>
      <c r="F20" s="47">
        <v>0</v>
      </c>
      <c r="G20" s="647">
        <f>E20-F20</f>
        <v>0</v>
      </c>
      <c r="H20" s="784"/>
      <c r="I20" s="785"/>
      <c r="J20" s="43"/>
      <c r="K20" s="791"/>
      <c r="L20" s="791"/>
      <c r="M20" s="791"/>
      <c r="N20" s="791"/>
      <c r="O20" s="791"/>
      <c r="P20" s="791"/>
      <c r="Q20" s="543"/>
      <c r="R20" s="543"/>
      <c r="S20" s="543"/>
      <c r="T20" s="543"/>
      <c r="U20" s="574"/>
      <c r="V20" s="574"/>
      <c r="W20" s="48"/>
      <c r="X20" s="59"/>
      <c r="Y20" s="677">
        <f t="shared" si="1"/>
        <v>0</v>
      </c>
    </row>
    <row r="21" spans="1:25" ht="26.25" customHeight="1">
      <c r="A21" s="24"/>
      <c r="B21" s="546"/>
      <c r="C21" s="546"/>
      <c r="D21" s="315"/>
      <c r="E21" s="49"/>
      <c r="F21" s="49"/>
      <c r="G21" s="35"/>
      <c r="H21" s="570"/>
      <c r="I21" s="44"/>
      <c r="J21" s="789"/>
      <c r="K21" s="789"/>
      <c r="L21" s="789"/>
      <c r="M21" s="789"/>
      <c r="N21" s="789"/>
      <c r="O21" s="536"/>
      <c r="P21" s="825"/>
      <c r="Q21" s="825"/>
      <c r="R21" s="361"/>
      <c r="S21" s="361"/>
      <c r="T21" s="361"/>
      <c r="U21" s="361"/>
      <c r="V21" s="361"/>
      <c r="W21" s="14"/>
      <c r="X21" s="91"/>
      <c r="Y21" s="677">
        <f t="shared" si="1"/>
        <v>0</v>
      </c>
    </row>
    <row r="22" spans="1:25" ht="26.25" customHeight="1">
      <c r="A22" s="24"/>
      <c r="B22" s="546"/>
      <c r="C22" s="46" t="s">
        <v>105</v>
      </c>
      <c r="D22" s="313"/>
      <c r="E22" s="112">
        <f>E23</f>
        <v>0</v>
      </c>
      <c r="F22" s="112">
        <v>0</v>
      </c>
      <c r="G22" s="658">
        <f>G23</f>
        <v>0</v>
      </c>
      <c r="H22" s="135"/>
      <c r="I22" s="136"/>
      <c r="J22" s="137"/>
      <c r="K22" s="89"/>
      <c r="L22" s="89"/>
      <c r="M22" s="137"/>
      <c r="N22" s="137"/>
      <c r="O22" s="137"/>
      <c r="P22" s="32"/>
      <c r="Q22" s="32"/>
      <c r="R22" s="528"/>
      <c r="S22" s="528"/>
      <c r="T22" s="528"/>
      <c r="U22" s="528"/>
      <c r="V22" s="528"/>
      <c r="W22" s="33"/>
      <c r="X22" s="95"/>
      <c r="Y22" s="677">
        <f t="shared" si="1"/>
        <v>0</v>
      </c>
    </row>
    <row r="23" spans="1:25" ht="26.25" customHeight="1">
      <c r="A23" s="24"/>
      <c r="B23" s="546"/>
      <c r="C23" s="34"/>
      <c r="D23" s="750" t="s">
        <v>106</v>
      </c>
      <c r="E23" s="47"/>
      <c r="F23" s="47"/>
      <c r="G23" s="647">
        <f>E23-F23</f>
        <v>0</v>
      </c>
      <c r="H23" s="760" t="s">
        <v>203</v>
      </c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574"/>
      <c r="V23" s="574"/>
      <c r="W23" s="48"/>
      <c r="X23" s="59"/>
      <c r="Y23" s="677">
        <f t="shared" si="1"/>
        <v>0</v>
      </c>
    </row>
    <row r="24" spans="1:25" ht="26.25" customHeight="1" thickBot="1">
      <c r="A24" s="72"/>
      <c r="B24" s="186"/>
      <c r="C24" s="113"/>
      <c r="D24" s="777"/>
      <c r="E24" s="114"/>
      <c r="F24" s="114"/>
      <c r="G24" s="127"/>
      <c r="H24" s="333"/>
      <c r="I24" s="273"/>
      <c r="J24" s="550"/>
      <c r="K24" s="561"/>
      <c r="L24" s="561"/>
      <c r="M24" s="550"/>
      <c r="N24" s="550"/>
      <c r="O24" s="550"/>
      <c r="P24" s="156"/>
      <c r="Q24" s="156"/>
      <c r="R24" s="537"/>
      <c r="S24" s="537"/>
      <c r="T24" s="537"/>
      <c r="U24" s="537"/>
      <c r="V24" s="537"/>
      <c r="W24" s="86"/>
      <c r="X24" s="117"/>
      <c r="Y24" s="677">
        <f t="shared" si="1"/>
        <v>0</v>
      </c>
    </row>
    <row r="25" spans="1:25" ht="20.25" customHeight="1">
      <c r="A25" s="334" t="s">
        <v>100</v>
      </c>
      <c r="B25" s="367" t="s">
        <v>101</v>
      </c>
      <c r="C25" s="193" t="s">
        <v>107</v>
      </c>
      <c r="D25" s="318"/>
      <c r="E25" s="188">
        <f>SUM(E26,E36,E40,E43)</f>
        <v>122411.75</v>
      </c>
      <c r="F25" s="188">
        <v>102904.47</v>
      </c>
      <c r="G25" s="664">
        <f>G26+G36+G40+G43</f>
        <v>19507.280000000002</v>
      </c>
      <c r="H25" s="675">
        <f>E25-F25</f>
        <v>19507.28</v>
      </c>
      <c r="I25" s="189"/>
      <c r="J25" s="190"/>
      <c r="K25" s="191"/>
      <c r="L25" s="191"/>
      <c r="M25" s="190"/>
      <c r="N25" s="190"/>
      <c r="O25" s="190"/>
      <c r="P25" s="133"/>
      <c r="Q25" s="133"/>
      <c r="R25" s="79"/>
      <c r="S25" s="79"/>
      <c r="T25" s="79"/>
      <c r="U25" s="79"/>
      <c r="V25" s="79"/>
      <c r="W25" s="82"/>
      <c r="X25" s="94"/>
      <c r="Y25" s="677">
        <f t="shared" si="1"/>
        <v>19507.28</v>
      </c>
    </row>
    <row r="26" spans="1:31" ht="17.25" customHeight="1">
      <c r="A26" s="24"/>
      <c r="B26" s="546"/>
      <c r="C26" s="546"/>
      <c r="D26" s="807" t="s">
        <v>108</v>
      </c>
      <c r="E26" s="47">
        <f>S26/1000</f>
        <v>62164.55</v>
      </c>
      <c r="F26" s="47">
        <v>50986.47</v>
      </c>
      <c r="G26" s="647">
        <f>E26-F26</f>
        <v>11178.080000000002</v>
      </c>
      <c r="H26" s="760" t="s">
        <v>47</v>
      </c>
      <c r="I26" s="761"/>
      <c r="J26" s="43"/>
      <c r="K26" s="153"/>
      <c r="L26" s="153"/>
      <c r="M26" s="153"/>
      <c r="N26" s="153"/>
      <c r="O26" s="153"/>
      <c r="P26" s="153"/>
      <c r="Q26" s="539"/>
      <c r="R26" s="363"/>
      <c r="S26" s="788">
        <f>SUM(X27:X35)</f>
        <v>62164550</v>
      </c>
      <c r="T26" s="788"/>
      <c r="U26" s="788"/>
      <c r="V26" s="788"/>
      <c r="W26" s="788"/>
      <c r="X26" s="846"/>
      <c r="Y26" s="677">
        <f t="shared" si="1"/>
        <v>11178.080000000002</v>
      </c>
      <c r="Z26" s="8"/>
      <c r="AA26" s="8"/>
      <c r="AB26" s="10"/>
      <c r="AC26" s="8"/>
      <c r="AD26" s="10"/>
      <c r="AE26" s="8"/>
    </row>
    <row r="27" spans="1:31" ht="18.75" customHeight="1">
      <c r="A27" s="24"/>
      <c r="B27" s="546"/>
      <c r="C27" s="546"/>
      <c r="D27" s="804"/>
      <c r="E27" s="49"/>
      <c r="F27" s="49"/>
      <c r="G27" s="529"/>
      <c r="H27" s="364" t="s">
        <v>473</v>
      </c>
      <c r="I27" s="44">
        <v>2721000</v>
      </c>
      <c r="J27" s="536" t="s">
        <v>3</v>
      </c>
      <c r="K27" s="237">
        <v>1</v>
      </c>
      <c r="L27" s="237" t="s">
        <v>5</v>
      </c>
      <c r="M27" s="536" t="s">
        <v>3</v>
      </c>
      <c r="N27" s="532">
        <v>20</v>
      </c>
      <c r="O27" s="536" t="s">
        <v>8</v>
      </c>
      <c r="P27" s="536" t="s">
        <v>3</v>
      </c>
      <c r="Q27" s="52">
        <v>1.5</v>
      </c>
      <c r="R27" s="53" t="s">
        <v>26</v>
      </c>
      <c r="S27" s="54" t="s">
        <v>27</v>
      </c>
      <c r="T27" s="536" t="s">
        <v>3</v>
      </c>
      <c r="U27" s="306">
        <v>12</v>
      </c>
      <c r="V27" s="536" t="s">
        <v>6</v>
      </c>
      <c r="W27" s="536" t="s">
        <v>4</v>
      </c>
      <c r="X27" s="91">
        <f>ROUNDDOWN(I27*K27*N27*Q27/S27*U27,-1)</f>
        <v>4686880</v>
      </c>
      <c r="Y27" s="677">
        <f t="shared" si="1"/>
        <v>0</v>
      </c>
      <c r="Z27" s="12">
        <f aca="true" t="shared" si="6" ref="Z27:Z35">I27*K27*N27*Q27/S27*U27</f>
        <v>4686889.95215311</v>
      </c>
      <c r="AA27" s="8">
        <v>3960000</v>
      </c>
      <c r="AB27" s="10">
        <f>Z27-AA27</f>
        <v>726889.95215311</v>
      </c>
      <c r="AC27" s="8"/>
      <c r="AD27" s="10"/>
      <c r="AE27" s="8"/>
    </row>
    <row r="28" spans="1:31" ht="18" customHeight="1">
      <c r="A28" s="24"/>
      <c r="B28" s="546"/>
      <c r="C28" s="546"/>
      <c r="D28" s="552"/>
      <c r="E28" s="49"/>
      <c r="F28" s="49"/>
      <c r="G28" s="529"/>
      <c r="H28" s="364" t="s">
        <v>474</v>
      </c>
      <c r="I28" s="44">
        <v>2436000</v>
      </c>
      <c r="J28" s="536" t="s">
        <v>3</v>
      </c>
      <c r="K28" s="237">
        <v>1</v>
      </c>
      <c r="L28" s="237" t="s">
        <v>5</v>
      </c>
      <c r="M28" s="536" t="s">
        <v>3</v>
      </c>
      <c r="N28" s="532">
        <v>20</v>
      </c>
      <c r="O28" s="536" t="s">
        <v>8</v>
      </c>
      <c r="P28" s="536" t="s">
        <v>3</v>
      </c>
      <c r="Q28" s="52">
        <v>1.5</v>
      </c>
      <c r="R28" s="53" t="s">
        <v>26</v>
      </c>
      <c r="S28" s="54" t="s">
        <v>27</v>
      </c>
      <c r="T28" s="536" t="s">
        <v>3</v>
      </c>
      <c r="U28" s="306">
        <v>12</v>
      </c>
      <c r="V28" s="536" t="s">
        <v>6</v>
      </c>
      <c r="W28" s="536" t="s">
        <v>4</v>
      </c>
      <c r="X28" s="91">
        <f aca="true" t="shared" si="7" ref="X28:X35">ROUNDDOWN(I28*K28*N28*Q28/S28*U28,-1)</f>
        <v>4195980</v>
      </c>
      <c r="Y28" s="677">
        <f t="shared" si="1"/>
        <v>0</v>
      </c>
      <c r="Z28" s="12">
        <f t="shared" si="6"/>
        <v>4195980.861244019</v>
      </c>
      <c r="AA28" s="8">
        <v>2845550</v>
      </c>
      <c r="AB28" s="10">
        <f aca="true" t="shared" si="8" ref="AB28:AB35">Z28-AA28</f>
        <v>1350430.8612440191</v>
      </c>
      <c r="AC28" s="8"/>
      <c r="AD28" s="10"/>
      <c r="AE28" s="8"/>
    </row>
    <row r="29" spans="1:31" ht="18" customHeight="1">
      <c r="A29" s="24"/>
      <c r="B29" s="546"/>
      <c r="C29" s="546"/>
      <c r="D29" s="552"/>
      <c r="E29" s="49"/>
      <c r="F29" s="49"/>
      <c r="G29" s="529"/>
      <c r="H29" s="364" t="s">
        <v>475</v>
      </c>
      <c r="I29" s="44">
        <v>2207000</v>
      </c>
      <c r="J29" s="536" t="s">
        <v>3</v>
      </c>
      <c r="K29" s="237">
        <v>1</v>
      </c>
      <c r="L29" s="237" t="s">
        <v>5</v>
      </c>
      <c r="M29" s="536" t="s">
        <v>3</v>
      </c>
      <c r="N29" s="532">
        <v>20</v>
      </c>
      <c r="O29" s="536" t="s">
        <v>8</v>
      </c>
      <c r="P29" s="536" t="s">
        <v>3</v>
      </c>
      <c r="Q29" s="52">
        <v>1.5</v>
      </c>
      <c r="R29" s="53" t="s">
        <v>26</v>
      </c>
      <c r="S29" s="54" t="s">
        <v>27</v>
      </c>
      <c r="T29" s="536" t="s">
        <v>3</v>
      </c>
      <c r="U29" s="306">
        <v>12</v>
      </c>
      <c r="V29" s="536" t="s">
        <v>6</v>
      </c>
      <c r="W29" s="536" t="s">
        <v>4</v>
      </c>
      <c r="X29" s="91">
        <f t="shared" si="7"/>
        <v>3801530</v>
      </c>
      <c r="Y29" s="677">
        <f t="shared" si="1"/>
        <v>0</v>
      </c>
      <c r="Z29" s="12">
        <f t="shared" si="6"/>
        <v>3801531.1004784685</v>
      </c>
      <c r="AA29" s="8">
        <v>7709850</v>
      </c>
      <c r="AB29" s="10">
        <f t="shared" si="8"/>
        <v>-3908318.8995215315</v>
      </c>
      <c r="AC29" s="8"/>
      <c r="AD29" s="10"/>
      <c r="AE29" s="8"/>
    </row>
    <row r="30" spans="1:31" ht="18" customHeight="1">
      <c r="A30" s="24"/>
      <c r="B30" s="546"/>
      <c r="C30" s="546"/>
      <c r="D30" s="552"/>
      <c r="E30" s="49"/>
      <c r="F30" s="49"/>
      <c r="G30" s="529"/>
      <c r="H30" s="570" t="s">
        <v>476</v>
      </c>
      <c r="I30" s="572">
        <v>1949000</v>
      </c>
      <c r="J30" s="536" t="s">
        <v>3</v>
      </c>
      <c r="K30" s="237">
        <v>4</v>
      </c>
      <c r="L30" s="237" t="s">
        <v>5</v>
      </c>
      <c r="M30" s="536" t="s">
        <v>3</v>
      </c>
      <c r="N30" s="532">
        <v>40</v>
      </c>
      <c r="O30" s="536" t="s">
        <v>8</v>
      </c>
      <c r="P30" s="536" t="s">
        <v>3</v>
      </c>
      <c r="Q30" s="52">
        <v>1.5</v>
      </c>
      <c r="R30" s="53" t="s">
        <v>26</v>
      </c>
      <c r="S30" s="54" t="s">
        <v>27</v>
      </c>
      <c r="T30" s="536" t="s">
        <v>3</v>
      </c>
      <c r="U30" s="306">
        <v>12</v>
      </c>
      <c r="V30" s="536" t="s">
        <v>6</v>
      </c>
      <c r="W30" s="536"/>
      <c r="X30" s="91">
        <f t="shared" si="7"/>
        <v>26857030</v>
      </c>
      <c r="Y30" s="677">
        <f t="shared" si="1"/>
        <v>0</v>
      </c>
      <c r="Z30" s="12">
        <f t="shared" si="6"/>
        <v>26857033.492822967</v>
      </c>
      <c r="AA30" s="8">
        <v>8918340</v>
      </c>
      <c r="AB30" s="10">
        <f t="shared" si="8"/>
        <v>17938693.492822967</v>
      </c>
      <c r="AC30" s="8"/>
      <c r="AD30" s="10"/>
      <c r="AE30" s="8"/>
    </row>
    <row r="31" spans="1:31" ht="18" customHeight="1">
      <c r="A31" s="24"/>
      <c r="B31" s="546"/>
      <c r="C31" s="546"/>
      <c r="D31" s="552"/>
      <c r="E31" s="49"/>
      <c r="F31" s="49"/>
      <c r="G31" s="529"/>
      <c r="H31" s="570" t="s">
        <v>477</v>
      </c>
      <c r="I31" s="572">
        <v>1744000</v>
      </c>
      <c r="J31" s="536" t="s">
        <v>3</v>
      </c>
      <c r="K31" s="237">
        <v>1</v>
      </c>
      <c r="L31" s="237" t="s">
        <v>5</v>
      </c>
      <c r="M31" s="536" t="s">
        <v>3</v>
      </c>
      <c r="N31" s="532">
        <v>40</v>
      </c>
      <c r="O31" s="536" t="s">
        <v>8</v>
      </c>
      <c r="P31" s="536" t="s">
        <v>3</v>
      </c>
      <c r="Q31" s="52">
        <v>1.5</v>
      </c>
      <c r="R31" s="53" t="s">
        <v>26</v>
      </c>
      <c r="S31" s="54" t="s">
        <v>27</v>
      </c>
      <c r="T31" s="536" t="s">
        <v>3</v>
      </c>
      <c r="U31" s="306">
        <v>12</v>
      </c>
      <c r="V31" s="536" t="s">
        <v>6</v>
      </c>
      <c r="W31" s="536"/>
      <c r="X31" s="91">
        <f t="shared" si="7"/>
        <v>6008030</v>
      </c>
      <c r="Y31" s="677">
        <f t="shared" si="1"/>
        <v>0</v>
      </c>
      <c r="Z31" s="12">
        <f t="shared" si="6"/>
        <v>6008038.277511962</v>
      </c>
      <c r="AA31" s="8">
        <v>6688760</v>
      </c>
      <c r="AB31" s="10">
        <f t="shared" si="8"/>
        <v>-680721.7224880382</v>
      </c>
      <c r="AC31" s="8"/>
      <c r="AD31" s="10"/>
      <c r="AE31" s="8"/>
    </row>
    <row r="32" spans="1:31" ht="18" customHeight="1">
      <c r="A32" s="24"/>
      <c r="B32" s="546"/>
      <c r="C32" s="546"/>
      <c r="D32" s="552"/>
      <c r="E32" s="49"/>
      <c r="F32" s="49"/>
      <c r="G32" s="529"/>
      <c r="H32" s="570" t="s">
        <v>477</v>
      </c>
      <c r="I32" s="572">
        <v>1744000</v>
      </c>
      <c r="J32" s="536" t="s">
        <v>3</v>
      </c>
      <c r="K32" s="237">
        <v>1</v>
      </c>
      <c r="L32" s="237" t="s">
        <v>5</v>
      </c>
      <c r="M32" s="536" t="s">
        <v>3</v>
      </c>
      <c r="N32" s="532">
        <v>40</v>
      </c>
      <c r="O32" s="536" t="s">
        <v>8</v>
      </c>
      <c r="P32" s="536" t="s">
        <v>3</v>
      </c>
      <c r="Q32" s="52">
        <v>1.5</v>
      </c>
      <c r="R32" s="53" t="s">
        <v>26</v>
      </c>
      <c r="S32" s="54" t="s">
        <v>27</v>
      </c>
      <c r="T32" s="536" t="s">
        <v>3</v>
      </c>
      <c r="U32" s="306">
        <v>12</v>
      </c>
      <c r="V32" s="536" t="s">
        <v>6</v>
      </c>
      <c r="W32" s="536" t="s">
        <v>4</v>
      </c>
      <c r="X32" s="91">
        <f t="shared" si="7"/>
        <v>6008030</v>
      </c>
      <c r="Y32" s="677">
        <f t="shared" si="1"/>
        <v>0</v>
      </c>
      <c r="Z32" s="12">
        <f t="shared" si="6"/>
        <v>6008038.277511962</v>
      </c>
      <c r="AA32" s="8">
        <v>16447690</v>
      </c>
      <c r="AB32" s="10">
        <f t="shared" si="8"/>
        <v>-10439651.722488038</v>
      </c>
      <c r="AC32" s="8"/>
      <c r="AD32" s="10"/>
      <c r="AE32" s="8"/>
    </row>
    <row r="33" spans="1:31" ht="18" customHeight="1">
      <c r="A33" s="24"/>
      <c r="B33" s="546"/>
      <c r="C33" s="546"/>
      <c r="D33" s="552"/>
      <c r="E33" s="49"/>
      <c r="F33" s="49"/>
      <c r="G33" s="529"/>
      <c r="H33" s="570" t="s">
        <v>478</v>
      </c>
      <c r="I33" s="572">
        <v>2207000</v>
      </c>
      <c r="J33" s="536" t="s">
        <v>3</v>
      </c>
      <c r="K33" s="237">
        <v>1</v>
      </c>
      <c r="L33" s="237" t="s">
        <v>5</v>
      </c>
      <c r="M33" s="536" t="s">
        <v>3</v>
      </c>
      <c r="N33" s="532">
        <v>20</v>
      </c>
      <c r="O33" s="536" t="s">
        <v>8</v>
      </c>
      <c r="P33" s="536" t="s">
        <v>3</v>
      </c>
      <c r="Q33" s="52">
        <v>1.5</v>
      </c>
      <c r="R33" s="53" t="s">
        <v>26</v>
      </c>
      <c r="S33" s="54" t="s">
        <v>27</v>
      </c>
      <c r="T33" s="536" t="s">
        <v>3</v>
      </c>
      <c r="U33" s="306">
        <v>12</v>
      </c>
      <c r="V33" s="536" t="s">
        <v>6</v>
      </c>
      <c r="W33" s="536"/>
      <c r="X33" s="91">
        <f t="shared" si="7"/>
        <v>3801530</v>
      </c>
      <c r="Y33" s="677">
        <f t="shared" si="1"/>
        <v>0</v>
      </c>
      <c r="Z33" s="12">
        <f t="shared" si="6"/>
        <v>3801531.1004784685</v>
      </c>
      <c r="AA33" s="8">
        <v>4111920</v>
      </c>
      <c r="AB33" s="10">
        <f t="shared" si="8"/>
        <v>-310388.89952153154</v>
      </c>
      <c r="AC33" s="8"/>
      <c r="AD33" s="10"/>
      <c r="AE33" s="8"/>
    </row>
    <row r="34" spans="1:31" ht="18" customHeight="1">
      <c r="A34" s="24"/>
      <c r="B34" s="546"/>
      <c r="C34" s="546"/>
      <c r="D34" s="552"/>
      <c r="E34" s="49"/>
      <c r="F34" s="49"/>
      <c r="G34" s="529"/>
      <c r="H34" s="570" t="s">
        <v>479</v>
      </c>
      <c r="I34" s="572">
        <v>2207000</v>
      </c>
      <c r="J34" s="536" t="s">
        <v>3</v>
      </c>
      <c r="K34" s="237">
        <v>1</v>
      </c>
      <c r="L34" s="237" t="s">
        <v>5</v>
      </c>
      <c r="M34" s="536" t="s">
        <v>3</v>
      </c>
      <c r="N34" s="532">
        <v>20</v>
      </c>
      <c r="O34" s="536" t="s">
        <v>8</v>
      </c>
      <c r="P34" s="536" t="s">
        <v>3</v>
      </c>
      <c r="Q34" s="52">
        <v>1.5</v>
      </c>
      <c r="R34" s="53" t="s">
        <v>26</v>
      </c>
      <c r="S34" s="54" t="s">
        <v>27</v>
      </c>
      <c r="T34" s="536" t="s">
        <v>3</v>
      </c>
      <c r="U34" s="306">
        <v>12</v>
      </c>
      <c r="V34" s="536" t="s">
        <v>6</v>
      </c>
      <c r="W34" s="536" t="s">
        <v>4</v>
      </c>
      <c r="X34" s="91">
        <f t="shared" si="7"/>
        <v>3801530</v>
      </c>
      <c r="Y34" s="677">
        <f t="shared" si="1"/>
        <v>0</v>
      </c>
      <c r="Z34" s="12">
        <f t="shared" si="6"/>
        <v>3801531.1004784685</v>
      </c>
      <c r="AA34" s="8">
        <v>4111920</v>
      </c>
      <c r="AB34" s="10">
        <f t="shared" si="8"/>
        <v>-310388.89952153154</v>
      </c>
      <c r="AC34" s="8"/>
      <c r="AD34" s="10"/>
      <c r="AE34" s="8"/>
    </row>
    <row r="35" spans="1:31" ht="18" customHeight="1">
      <c r="A35" s="24"/>
      <c r="B35" s="546"/>
      <c r="C35" s="546"/>
      <c r="D35" s="552"/>
      <c r="E35" s="49"/>
      <c r="F35" s="49"/>
      <c r="G35" s="529"/>
      <c r="H35" s="570" t="s">
        <v>480</v>
      </c>
      <c r="I35" s="572">
        <v>1744000</v>
      </c>
      <c r="J35" s="536" t="s">
        <v>3</v>
      </c>
      <c r="K35" s="237">
        <v>1</v>
      </c>
      <c r="L35" s="237" t="s">
        <v>5</v>
      </c>
      <c r="M35" s="536" t="s">
        <v>3</v>
      </c>
      <c r="N35" s="532">
        <v>20</v>
      </c>
      <c r="O35" s="536" t="s">
        <v>8</v>
      </c>
      <c r="P35" s="548" t="s">
        <v>3</v>
      </c>
      <c r="Q35" s="52">
        <v>1.5</v>
      </c>
      <c r="R35" s="53" t="s">
        <v>26</v>
      </c>
      <c r="S35" s="54" t="s">
        <v>27</v>
      </c>
      <c r="T35" s="536" t="s">
        <v>3</v>
      </c>
      <c r="U35" s="306">
        <v>12</v>
      </c>
      <c r="V35" s="536" t="s">
        <v>6</v>
      </c>
      <c r="W35" s="536"/>
      <c r="X35" s="91">
        <f t="shared" si="7"/>
        <v>3004010</v>
      </c>
      <c r="Y35" s="677">
        <f t="shared" si="1"/>
        <v>0</v>
      </c>
      <c r="Z35" s="12">
        <f t="shared" si="6"/>
        <v>3004019.138755981</v>
      </c>
      <c r="AA35" s="8">
        <v>4227670</v>
      </c>
      <c r="AB35" s="10">
        <f t="shared" si="8"/>
        <v>-1223650.8612440191</v>
      </c>
      <c r="AC35" s="8"/>
      <c r="AD35" s="10"/>
      <c r="AE35" s="8"/>
    </row>
    <row r="36" spans="1:25" ht="18" customHeight="1">
      <c r="A36" s="24"/>
      <c r="B36" s="546"/>
      <c r="C36" s="34"/>
      <c r="D36" s="758" t="s">
        <v>109</v>
      </c>
      <c r="E36" s="47">
        <f>X36/1000</f>
        <v>6000</v>
      </c>
      <c r="F36" s="47">
        <v>5280</v>
      </c>
      <c r="G36" s="647">
        <f>E36-F36</f>
        <v>720</v>
      </c>
      <c r="H36" s="781" t="s">
        <v>438</v>
      </c>
      <c r="I36" s="782"/>
      <c r="J36" s="782"/>
      <c r="K36" s="782"/>
      <c r="L36" s="782"/>
      <c r="M36" s="782"/>
      <c r="N36" s="782"/>
      <c r="O36" s="574"/>
      <c r="P36" s="153"/>
      <c r="Q36" s="480"/>
      <c r="R36" s="480"/>
      <c r="S36" s="480"/>
      <c r="T36" s="480"/>
      <c r="U36" s="574"/>
      <c r="V36" s="574"/>
      <c r="W36" s="48"/>
      <c r="X36" s="504">
        <f>SUM(X37:X39)</f>
        <v>6000000</v>
      </c>
      <c r="Y36" s="677">
        <f t="shared" si="1"/>
        <v>720</v>
      </c>
    </row>
    <row r="37" spans="1:25" ht="19.5" customHeight="1">
      <c r="A37" s="24"/>
      <c r="B37" s="546"/>
      <c r="C37" s="34"/>
      <c r="D37" s="759"/>
      <c r="E37" s="49"/>
      <c r="F37" s="49"/>
      <c r="G37" s="35"/>
      <c r="H37" s="559" t="s">
        <v>437</v>
      </c>
      <c r="I37" s="572">
        <v>60000</v>
      </c>
      <c r="J37" s="536" t="s">
        <v>3</v>
      </c>
      <c r="K37" s="766">
        <v>5</v>
      </c>
      <c r="L37" s="766"/>
      <c r="M37" s="536" t="s">
        <v>5</v>
      </c>
      <c r="N37" s="536" t="s">
        <v>3</v>
      </c>
      <c r="O37" s="536"/>
      <c r="P37" s="776">
        <v>12</v>
      </c>
      <c r="Q37" s="776"/>
      <c r="R37" s="789" t="s">
        <v>6</v>
      </c>
      <c r="S37" s="789"/>
      <c r="T37" s="536"/>
      <c r="U37" s="361" t="s">
        <v>4</v>
      </c>
      <c r="V37" s="361"/>
      <c r="W37" s="14"/>
      <c r="X37" s="91">
        <f aca="true" t="shared" si="9" ref="X37:X39">I37*K37*P37</f>
        <v>3600000</v>
      </c>
      <c r="Y37" s="677">
        <f t="shared" si="1"/>
        <v>0</v>
      </c>
    </row>
    <row r="38" spans="1:26" ht="19.5" customHeight="1">
      <c r="A38" s="24"/>
      <c r="B38" s="546"/>
      <c r="C38" s="34"/>
      <c r="D38" s="315"/>
      <c r="E38" s="49"/>
      <c r="F38" s="49"/>
      <c r="G38" s="35"/>
      <c r="H38" s="559" t="s">
        <v>289</v>
      </c>
      <c r="I38" s="572">
        <v>40000</v>
      </c>
      <c r="J38" s="536" t="s">
        <v>3</v>
      </c>
      <c r="K38" s="766">
        <v>3</v>
      </c>
      <c r="L38" s="766"/>
      <c r="M38" s="536" t="s">
        <v>5</v>
      </c>
      <c r="N38" s="536" t="s">
        <v>3</v>
      </c>
      <c r="O38" s="536"/>
      <c r="P38" s="776">
        <v>12</v>
      </c>
      <c r="Q38" s="776"/>
      <c r="R38" s="789" t="s">
        <v>6</v>
      </c>
      <c r="S38" s="789"/>
      <c r="T38" s="536"/>
      <c r="U38" s="361" t="s">
        <v>4</v>
      </c>
      <c r="V38" s="361"/>
      <c r="W38" s="14"/>
      <c r="X38" s="91">
        <f t="shared" si="9"/>
        <v>1440000</v>
      </c>
      <c r="Y38" s="677">
        <f t="shared" si="1"/>
        <v>0</v>
      </c>
      <c r="Z38" s="271">
        <f>X36-4240000</f>
        <v>1760000</v>
      </c>
    </row>
    <row r="39" spans="1:25" ht="19.5" customHeight="1">
      <c r="A39" s="24"/>
      <c r="B39" s="546"/>
      <c r="C39" s="34"/>
      <c r="D39" s="315"/>
      <c r="E39" s="49"/>
      <c r="F39" s="49"/>
      <c r="G39" s="35"/>
      <c r="H39" s="559" t="s">
        <v>289</v>
      </c>
      <c r="I39" s="572">
        <v>40000</v>
      </c>
      <c r="J39" s="548" t="s">
        <v>3</v>
      </c>
      <c r="K39" s="780">
        <v>2</v>
      </c>
      <c r="L39" s="780"/>
      <c r="M39" s="548" t="s">
        <v>5</v>
      </c>
      <c r="N39" s="548" t="s">
        <v>3</v>
      </c>
      <c r="O39" s="548"/>
      <c r="P39" s="822">
        <v>12</v>
      </c>
      <c r="Q39" s="822"/>
      <c r="R39" s="803" t="s">
        <v>6</v>
      </c>
      <c r="S39" s="803"/>
      <c r="T39" s="536"/>
      <c r="U39" s="361" t="s">
        <v>4</v>
      </c>
      <c r="V39" s="361"/>
      <c r="W39" s="14"/>
      <c r="X39" s="91">
        <f t="shared" si="9"/>
        <v>960000</v>
      </c>
      <c r="Y39" s="677">
        <f t="shared" si="1"/>
        <v>0</v>
      </c>
    </row>
    <row r="40" spans="1:25" ht="21" customHeight="1">
      <c r="A40" s="24"/>
      <c r="B40" s="546"/>
      <c r="C40" s="546"/>
      <c r="D40" s="750" t="s">
        <v>439</v>
      </c>
      <c r="E40" s="644">
        <f>S40/1000</f>
        <v>24480</v>
      </c>
      <c r="F40" s="644">
        <v>21120</v>
      </c>
      <c r="G40" s="647">
        <f>E40-F40</f>
        <v>3360</v>
      </c>
      <c r="H40" s="761" t="s">
        <v>440</v>
      </c>
      <c r="I40" s="761"/>
      <c r="J40" s="361"/>
      <c r="K40" s="153"/>
      <c r="L40" s="153"/>
      <c r="M40" s="153"/>
      <c r="N40" s="153"/>
      <c r="O40" s="153"/>
      <c r="P40" s="153"/>
      <c r="Q40" s="573"/>
      <c r="R40" s="361"/>
      <c r="S40" s="794">
        <f>SUM(X41:X42)</f>
        <v>24480000</v>
      </c>
      <c r="T40" s="791"/>
      <c r="U40" s="791"/>
      <c r="V40" s="791"/>
      <c r="W40" s="791"/>
      <c r="X40" s="792"/>
      <c r="Y40" s="677">
        <f t="shared" si="1"/>
        <v>3360</v>
      </c>
    </row>
    <row r="41" spans="1:43" ht="16.5" customHeight="1">
      <c r="A41" s="24"/>
      <c r="B41" s="546"/>
      <c r="C41" s="546"/>
      <c r="D41" s="751"/>
      <c r="E41" s="645"/>
      <c r="F41" s="645"/>
      <c r="G41" s="34"/>
      <c r="H41" s="478" t="s">
        <v>412</v>
      </c>
      <c r="I41" s="42">
        <v>170000</v>
      </c>
      <c r="J41" s="361" t="s">
        <v>3</v>
      </c>
      <c r="K41" s="766">
        <v>12</v>
      </c>
      <c r="L41" s="766"/>
      <c r="M41" s="361" t="s">
        <v>5</v>
      </c>
      <c r="N41" s="361" t="s">
        <v>3</v>
      </c>
      <c r="O41" s="361"/>
      <c r="P41" s="573">
        <v>12</v>
      </c>
      <c r="Q41" s="573"/>
      <c r="R41" s="361" t="s">
        <v>6</v>
      </c>
      <c r="S41" s="361"/>
      <c r="T41" s="361"/>
      <c r="U41" s="361" t="s">
        <v>4</v>
      </c>
      <c r="V41" s="361"/>
      <c r="W41" s="14"/>
      <c r="X41" s="100">
        <f>I41*K41*P41</f>
        <v>24480000</v>
      </c>
      <c r="Y41" s="677">
        <f t="shared" si="1"/>
        <v>0</v>
      </c>
      <c r="AA41" s="478" t="s">
        <v>412</v>
      </c>
      <c r="AB41" s="42">
        <v>170000</v>
      </c>
      <c r="AC41" s="361" t="s">
        <v>3</v>
      </c>
      <c r="AD41" s="766">
        <v>10</v>
      </c>
      <c r="AE41" s="766"/>
      <c r="AF41" s="361" t="s">
        <v>5</v>
      </c>
      <c r="AG41" s="361" t="s">
        <v>3</v>
      </c>
      <c r="AH41" s="361"/>
      <c r="AI41" s="573">
        <v>12</v>
      </c>
      <c r="AJ41" s="573"/>
      <c r="AK41" s="361" t="s">
        <v>6</v>
      </c>
      <c r="AL41" s="361"/>
      <c r="AM41" s="361"/>
      <c r="AN41" s="361" t="s">
        <v>4</v>
      </c>
      <c r="AO41" s="361"/>
      <c r="AP41" s="14"/>
      <c r="AQ41" s="100">
        <f>AB41*AD41*AI41</f>
        <v>20400000</v>
      </c>
    </row>
    <row r="42" spans="1:43" ht="16.5" customHeight="1">
      <c r="A42" s="24"/>
      <c r="B42" s="546"/>
      <c r="C42" s="546"/>
      <c r="D42" s="317"/>
      <c r="E42" s="646"/>
      <c r="F42" s="646"/>
      <c r="G42" s="26"/>
      <c r="H42" s="478" t="s">
        <v>413</v>
      </c>
      <c r="I42" s="42">
        <v>120000</v>
      </c>
      <c r="J42" s="361" t="s">
        <v>3</v>
      </c>
      <c r="K42" s="766"/>
      <c r="L42" s="766"/>
      <c r="M42" s="361" t="s">
        <v>5</v>
      </c>
      <c r="N42" s="361" t="s">
        <v>3</v>
      </c>
      <c r="O42" s="361"/>
      <c r="P42" s="573"/>
      <c r="Q42" s="573"/>
      <c r="R42" s="361" t="s">
        <v>6</v>
      </c>
      <c r="S42" s="361"/>
      <c r="T42" s="361"/>
      <c r="U42" s="361" t="s">
        <v>4</v>
      </c>
      <c r="V42" s="361"/>
      <c r="W42" s="14"/>
      <c r="X42" s="100">
        <f>I42*K42*P42</f>
        <v>0</v>
      </c>
      <c r="Y42" s="677">
        <f t="shared" si="1"/>
        <v>0</v>
      </c>
      <c r="AA42" s="478" t="s">
        <v>413</v>
      </c>
      <c r="AB42" s="42">
        <v>120000</v>
      </c>
      <c r="AC42" s="361" t="s">
        <v>3</v>
      </c>
      <c r="AD42" s="766">
        <v>2</v>
      </c>
      <c r="AE42" s="766"/>
      <c r="AF42" s="361" t="s">
        <v>5</v>
      </c>
      <c r="AG42" s="361" t="s">
        <v>3</v>
      </c>
      <c r="AH42" s="361"/>
      <c r="AI42" s="573">
        <v>3</v>
      </c>
      <c r="AJ42" s="573"/>
      <c r="AK42" s="361" t="s">
        <v>6</v>
      </c>
      <c r="AL42" s="361"/>
      <c r="AM42" s="361"/>
      <c r="AN42" s="361" t="s">
        <v>4</v>
      </c>
      <c r="AO42" s="361"/>
      <c r="AP42" s="14"/>
      <c r="AQ42" s="100">
        <f>AB42*AD42*AI42</f>
        <v>720000</v>
      </c>
    </row>
    <row r="43" spans="1:25" ht="21" customHeight="1">
      <c r="A43" s="24"/>
      <c r="B43" s="546"/>
      <c r="C43" s="34"/>
      <c r="D43" s="750" t="s">
        <v>452</v>
      </c>
      <c r="E43" s="49">
        <f>X43/1000</f>
        <v>29767.2</v>
      </c>
      <c r="F43" s="49">
        <v>25518</v>
      </c>
      <c r="G43" s="647">
        <f>E43-F43</f>
        <v>4249.200000000001</v>
      </c>
      <c r="H43" s="784" t="s">
        <v>34</v>
      </c>
      <c r="I43" s="785"/>
      <c r="J43" s="43"/>
      <c r="K43" s="791"/>
      <c r="L43" s="791"/>
      <c r="M43" s="791"/>
      <c r="N43" s="791"/>
      <c r="O43" s="791"/>
      <c r="P43" s="791"/>
      <c r="Q43" s="543"/>
      <c r="R43" s="543"/>
      <c r="S43" s="543"/>
      <c r="T43" s="543"/>
      <c r="U43" s="574"/>
      <c r="V43" s="574"/>
      <c r="W43" s="48"/>
      <c r="X43" s="59">
        <f>SUM(X44:X45)</f>
        <v>29767200</v>
      </c>
      <c r="Y43" s="677">
        <f t="shared" si="1"/>
        <v>4249.200000000001</v>
      </c>
    </row>
    <row r="44" spans="1:25" ht="21" customHeight="1">
      <c r="A44" s="24"/>
      <c r="B44" s="546"/>
      <c r="C44" s="34"/>
      <c r="D44" s="751"/>
      <c r="E44" s="49"/>
      <c r="F44" s="49"/>
      <c r="G44" s="35"/>
      <c r="H44" s="570" t="s">
        <v>287</v>
      </c>
      <c r="I44" s="44">
        <v>24806000</v>
      </c>
      <c r="J44" s="789" t="s">
        <v>288</v>
      </c>
      <c r="K44" s="789"/>
      <c r="L44" s="789"/>
      <c r="M44" s="789"/>
      <c r="N44" s="789"/>
      <c r="O44" s="536" t="s">
        <v>3</v>
      </c>
      <c r="P44" s="825">
        <v>60</v>
      </c>
      <c r="Q44" s="825"/>
      <c r="R44" s="361" t="s">
        <v>46</v>
      </c>
      <c r="S44" s="361"/>
      <c r="T44" s="361"/>
      <c r="U44" s="361" t="s">
        <v>4</v>
      </c>
      <c r="V44" s="361"/>
      <c r="W44" s="14"/>
      <c r="X44" s="91">
        <f>I44*0.6</f>
        <v>14883600</v>
      </c>
      <c r="Y44" s="677">
        <f t="shared" si="1"/>
        <v>0</v>
      </c>
    </row>
    <row r="45" spans="1:25" ht="21" customHeight="1">
      <c r="A45" s="24"/>
      <c r="B45" s="546"/>
      <c r="C45" s="26"/>
      <c r="D45" s="778"/>
      <c r="E45" s="55"/>
      <c r="F45" s="55"/>
      <c r="G45" s="27"/>
      <c r="H45" s="576" t="s">
        <v>55</v>
      </c>
      <c r="I45" s="103">
        <v>24806000</v>
      </c>
      <c r="J45" s="803" t="s">
        <v>288</v>
      </c>
      <c r="K45" s="803"/>
      <c r="L45" s="803"/>
      <c r="M45" s="803"/>
      <c r="N45" s="803"/>
      <c r="O45" s="548" t="s">
        <v>3</v>
      </c>
      <c r="P45" s="876">
        <v>60</v>
      </c>
      <c r="Q45" s="876"/>
      <c r="R45" s="542" t="s">
        <v>46</v>
      </c>
      <c r="S45" s="542"/>
      <c r="T45" s="542"/>
      <c r="U45" s="542" t="s">
        <v>4</v>
      </c>
      <c r="V45" s="542"/>
      <c r="W45" s="23"/>
      <c r="X45" s="93">
        <f>I45*0.6</f>
        <v>14883600</v>
      </c>
      <c r="Y45" s="677">
        <f t="shared" si="1"/>
        <v>0</v>
      </c>
    </row>
    <row r="46" spans="1:25" ht="19.5" customHeight="1">
      <c r="A46" s="24"/>
      <c r="B46" s="546"/>
      <c r="C46" s="751" t="s">
        <v>111</v>
      </c>
      <c r="D46" s="317"/>
      <c r="E46" s="55">
        <f>E47</f>
        <v>32966.93</v>
      </c>
      <c r="F46" s="55">
        <v>30686.85</v>
      </c>
      <c r="G46" s="668">
        <f>G47</f>
        <v>2280.0800000000017</v>
      </c>
      <c r="H46" s="50"/>
      <c r="I46" s="51"/>
      <c r="J46" s="548"/>
      <c r="K46" s="534"/>
      <c r="L46" s="534"/>
      <c r="M46" s="548"/>
      <c r="N46" s="548"/>
      <c r="O46" s="548"/>
      <c r="P46" s="554"/>
      <c r="Q46" s="554"/>
      <c r="R46" s="548"/>
      <c r="S46" s="548"/>
      <c r="T46" s="548"/>
      <c r="U46" s="542"/>
      <c r="V46" s="542"/>
      <c r="W46" s="23"/>
      <c r="X46" s="93"/>
      <c r="Y46" s="677">
        <f t="shared" si="1"/>
        <v>2280.0800000000017</v>
      </c>
    </row>
    <row r="47" spans="1:25" ht="19.5" customHeight="1">
      <c r="A47" s="24"/>
      <c r="B47" s="546"/>
      <c r="C47" s="751"/>
      <c r="D47" s="807" t="s">
        <v>110</v>
      </c>
      <c r="E47" s="47">
        <f>T47/1000</f>
        <v>32966.93</v>
      </c>
      <c r="F47" s="47">
        <v>30686.85</v>
      </c>
      <c r="G47" s="647">
        <f>E47-F47</f>
        <v>2280.0800000000017</v>
      </c>
      <c r="H47" s="874" t="s">
        <v>48</v>
      </c>
      <c r="I47" s="824"/>
      <c r="J47" s="574"/>
      <c r="K47" s="153"/>
      <c r="L47" s="153"/>
      <c r="M47" s="153"/>
      <c r="N47" s="153"/>
      <c r="O47" s="153"/>
      <c r="P47" s="61"/>
      <c r="Q47" s="61"/>
      <c r="R47" s="62"/>
      <c r="S47" s="62"/>
      <c r="T47" s="788">
        <f>SUM(X48)</f>
        <v>32966930</v>
      </c>
      <c r="U47" s="788"/>
      <c r="V47" s="788"/>
      <c r="W47" s="788"/>
      <c r="X47" s="846"/>
      <c r="Y47" s="677">
        <f t="shared" si="1"/>
        <v>2280.0800000000017</v>
      </c>
    </row>
    <row r="48" spans="1:26" ht="19.5" customHeight="1">
      <c r="A48" s="24"/>
      <c r="B48" s="546"/>
      <c r="C48" s="26"/>
      <c r="D48" s="805"/>
      <c r="E48" s="55"/>
      <c r="F48" s="55"/>
      <c r="G48" s="238"/>
      <c r="H48" s="858">
        <v>395603720</v>
      </c>
      <c r="I48" s="859"/>
      <c r="J48" s="567" t="s">
        <v>3</v>
      </c>
      <c r="K48" s="63">
        <v>1</v>
      </c>
      <c r="L48" s="56" t="s">
        <v>26</v>
      </c>
      <c r="M48" s="859">
        <v>12</v>
      </c>
      <c r="N48" s="859"/>
      <c r="O48" s="154"/>
      <c r="P48" s="64"/>
      <c r="Q48" s="64"/>
      <c r="R48" s="566"/>
      <c r="S48" s="566"/>
      <c r="T48" s="566"/>
      <c r="U48" s="567" t="s">
        <v>4</v>
      </c>
      <c r="V48" s="566"/>
      <c r="W48" s="57"/>
      <c r="X48" s="99">
        <v>32966930</v>
      </c>
      <c r="Y48" s="677">
        <f t="shared" si="1"/>
        <v>0</v>
      </c>
      <c r="Z48" s="271" t="e">
        <f>H48-#REF!</f>
        <v>#REF!</v>
      </c>
    </row>
    <row r="49" spans="1:25" ht="19.5" customHeight="1">
      <c r="A49" s="24"/>
      <c r="B49" s="546"/>
      <c r="C49" s="750" t="s">
        <v>112</v>
      </c>
      <c r="D49" s="315"/>
      <c r="E49" s="49">
        <f>SUM(E50,E52,E54,E56,E58)</f>
        <v>38006.840000000004</v>
      </c>
      <c r="F49" s="49">
        <v>33843.86</v>
      </c>
      <c r="G49" s="663">
        <f>G50+G52+G54+G56+G58</f>
        <v>4162.979999999999</v>
      </c>
      <c r="H49" s="564"/>
      <c r="I49" s="565"/>
      <c r="J49" s="565"/>
      <c r="K49" s="499"/>
      <c r="L49" s="500"/>
      <c r="M49" s="501"/>
      <c r="N49" s="501"/>
      <c r="O49" s="501"/>
      <c r="P49" s="134"/>
      <c r="Q49" s="134"/>
      <c r="R49" s="562"/>
      <c r="S49" s="562"/>
      <c r="T49" s="562"/>
      <c r="U49" s="562"/>
      <c r="V49" s="562"/>
      <c r="W49" s="105"/>
      <c r="X49" s="100"/>
      <c r="Y49" s="677">
        <f t="shared" si="1"/>
        <v>4162.980000000003</v>
      </c>
    </row>
    <row r="50" spans="1:25" ht="19.5" customHeight="1">
      <c r="A50" s="24"/>
      <c r="B50" s="546"/>
      <c r="C50" s="806"/>
      <c r="D50" s="807" t="s">
        <v>113</v>
      </c>
      <c r="E50" s="47">
        <f>T50/1000</f>
        <v>12725.26</v>
      </c>
      <c r="F50" s="47">
        <v>10384.43</v>
      </c>
      <c r="G50" s="647">
        <f>E50-F50</f>
        <v>2340.83</v>
      </c>
      <c r="H50" s="874" t="s">
        <v>308</v>
      </c>
      <c r="I50" s="824"/>
      <c r="J50" s="574" t="s">
        <v>40</v>
      </c>
      <c r="K50" s="153"/>
      <c r="L50" s="153"/>
      <c r="M50" s="153"/>
      <c r="N50" s="153"/>
      <c r="O50" s="153"/>
      <c r="P50" s="61"/>
      <c r="Q50" s="61"/>
      <c r="R50" s="62"/>
      <c r="S50" s="62"/>
      <c r="T50" s="788">
        <f>SUM(X51)</f>
        <v>12725260</v>
      </c>
      <c r="U50" s="788"/>
      <c r="V50" s="788"/>
      <c r="W50" s="788"/>
      <c r="X50" s="846"/>
      <c r="Y50" s="677">
        <f t="shared" si="1"/>
        <v>2340.83</v>
      </c>
    </row>
    <row r="51" spans="1:25" ht="19.5" customHeight="1">
      <c r="A51" s="24"/>
      <c r="B51" s="34"/>
      <c r="C51" s="547"/>
      <c r="D51" s="805"/>
      <c r="E51" s="55"/>
      <c r="F51" s="55"/>
      <c r="G51" s="238"/>
      <c r="H51" s="858">
        <v>424883720</v>
      </c>
      <c r="I51" s="859"/>
      <c r="J51" s="567" t="s">
        <v>3</v>
      </c>
      <c r="K51" s="875">
        <v>0.02995</v>
      </c>
      <c r="L51" s="875"/>
      <c r="M51" s="875"/>
      <c r="N51" s="154"/>
      <c r="O51" s="567" t="s">
        <v>49</v>
      </c>
      <c r="P51" s="567"/>
      <c r="Q51" s="63">
        <v>1</v>
      </c>
      <c r="R51" s="563" t="s">
        <v>26</v>
      </c>
      <c r="S51" s="92">
        <v>2</v>
      </c>
      <c r="T51" s="566"/>
      <c r="U51" s="566" t="s">
        <v>9</v>
      </c>
      <c r="V51" s="566"/>
      <c r="W51" s="57"/>
      <c r="X51" s="99">
        <f>ROUNDDOWN((H51*K51),-1)</f>
        <v>12725260</v>
      </c>
      <c r="Y51" s="677">
        <f t="shared" si="1"/>
        <v>0</v>
      </c>
    </row>
    <row r="52" spans="1:25" ht="19.5" customHeight="1">
      <c r="A52" s="155"/>
      <c r="B52" s="546"/>
      <c r="C52" s="34"/>
      <c r="D52" s="804" t="s">
        <v>114</v>
      </c>
      <c r="E52" s="49">
        <f>T52/1000</f>
        <v>833.49</v>
      </c>
      <c r="F52" s="49">
        <v>702.07</v>
      </c>
      <c r="G52" s="647">
        <f>E52-F52</f>
        <v>131.41999999999996</v>
      </c>
      <c r="H52" s="868" t="s">
        <v>315</v>
      </c>
      <c r="I52" s="789"/>
      <c r="J52" s="361" t="s">
        <v>40</v>
      </c>
      <c r="K52" s="153"/>
      <c r="L52" s="153"/>
      <c r="M52" s="153"/>
      <c r="N52" s="153"/>
      <c r="O52" s="153"/>
      <c r="P52" s="573"/>
      <c r="Q52" s="573"/>
      <c r="R52" s="361"/>
      <c r="S52" s="361"/>
      <c r="T52" s="793">
        <f>SUM(X53)</f>
        <v>833490</v>
      </c>
      <c r="U52" s="793"/>
      <c r="V52" s="793"/>
      <c r="W52" s="793"/>
      <c r="X52" s="869"/>
      <c r="Y52" s="677">
        <f t="shared" si="1"/>
        <v>131.41999999999996</v>
      </c>
    </row>
    <row r="53" spans="1:25" ht="19.5" customHeight="1">
      <c r="A53" s="87"/>
      <c r="B53" s="546"/>
      <c r="C53" s="34"/>
      <c r="D53" s="805"/>
      <c r="E53" s="55"/>
      <c r="F53" s="55"/>
      <c r="G53" s="238"/>
      <c r="H53" s="858">
        <v>12725180</v>
      </c>
      <c r="I53" s="859"/>
      <c r="J53" s="567" t="s">
        <v>3</v>
      </c>
      <c r="K53" s="860">
        <v>0.131</v>
      </c>
      <c r="L53" s="860"/>
      <c r="M53" s="859" t="s">
        <v>49</v>
      </c>
      <c r="N53" s="859"/>
      <c r="O53" s="63">
        <v>1</v>
      </c>
      <c r="P53" s="563" t="s">
        <v>26</v>
      </c>
      <c r="Q53" s="92">
        <v>2</v>
      </c>
      <c r="R53" s="90"/>
      <c r="S53" s="862"/>
      <c r="T53" s="862"/>
      <c r="U53" s="542" t="s">
        <v>4</v>
      </c>
      <c r="V53" s="566"/>
      <c r="W53" s="57"/>
      <c r="X53" s="99">
        <f>ROUNDDOWN((H53*K53/2),-1)</f>
        <v>833490</v>
      </c>
      <c r="Y53" s="677">
        <f t="shared" si="1"/>
        <v>0</v>
      </c>
    </row>
    <row r="54" spans="1:25" ht="19.5" customHeight="1">
      <c r="A54" s="155"/>
      <c r="B54" s="546"/>
      <c r="C54" s="34"/>
      <c r="D54" s="750" t="s">
        <v>115</v>
      </c>
      <c r="E54" s="49">
        <f>T54/1000</f>
        <v>17802.09</v>
      </c>
      <c r="F54" s="49">
        <v>16570.9</v>
      </c>
      <c r="G54" s="647">
        <f>E54-F54</f>
        <v>1231.1899999999987</v>
      </c>
      <c r="H54" s="868" t="s">
        <v>51</v>
      </c>
      <c r="I54" s="789"/>
      <c r="J54" s="361" t="s">
        <v>40</v>
      </c>
      <c r="K54" s="153"/>
      <c r="L54" s="153"/>
      <c r="M54" s="153"/>
      <c r="N54" s="153"/>
      <c r="O54" s="153"/>
      <c r="P54" s="573"/>
      <c r="Q54" s="573"/>
      <c r="R54" s="361"/>
      <c r="S54" s="361"/>
      <c r="T54" s="793">
        <f>SUM(X55)</f>
        <v>17802090</v>
      </c>
      <c r="U54" s="793"/>
      <c r="V54" s="793"/>
      <c r="W54" s="793"/>
      <c r="X54" s="869"/>
      <c r="Y54" s="677">
        <f t="shared" si="1"/>
        <v>1231.1899999999987</v>
      </c>
    </row>
    <row r="55" spans="1:25" ht="19.5" customHeight="1" thickBot="1">
      <c r="A55" s="185"/>
      <c r="B55" s="113"/>
      <c r="C55" s="113"/>
      <c r="D55" s="777"/>
      <c r="E55" s="114"/>
      <c r="F55" s="114"/>
      <c r="G55" s="127"/>
      <c r="H55" s="870">
        <v>395603720</v>
      </c>
      <c r="I55" s="871"/>
      <c r="J55" s="568" t="s">
        <v>3</v>
      </c>
      <c r="K55" s="872">
        <v>0.09</v>
      </c>
      <c r="L55" s="872"/>
      <c r="M55" s="871" t="s">
        <v>49</v>
      </c>
      <c r="N55" s="871"/>
      <c r="O55" s="514">
        <v>1</v>
      </c>
      <c r="P55" s="515" t="s">
        <v>26</v>
      </c>
      <c r="Q55" s="516">
        <v>2</v>
      </c>
      <c r="R55" s="517"/>
      <c r="S55" s="873"/>
      <c r="T55" s="873"/>
      <c r="U55" s="537" t="s">
        <v>4</v>
      </c>
      <c r="V55" s="569"/>
      <c r="W55" s="518"/>
      <c r="X55" s="519">
        <v>17802090</v>
      </c>
      <c r="Y55" s="677">
        <f t="shared" si="1"/>
        <v>0</v>
      </c>
    </row>
    <row r="56" spans="1:25" ht="23.25" customHeight="1">
      <c r="A56" s="334" t="s">
        <v>100</v>
      </c>
      <c r="B56" s="367" t="s">
        <v>101</v>
      </c>
      <c r="C56" s="779" t="s">
        <v>112</v>
      </c>
      <c r="D56" s="779" t="s">
        <v>116</v>
      </c>
      <c r="E56" s="264">
        <f>T56/1000</f>
        <v>3560.35</v>
      </c>
      <c r="F56" s="264">
        <v>3314.18</v>
      </c>
      <c r="G56" s="647">
        <f>E56-F56</f>
        <v>246.17000000000007</v>
      </c>
      <c r="H56" s="863" t="s">
        <v>52</v>
      </c>
      <c r="I56" s="864"/>
      <c r="J56" s="131" t="s">
        <v>40</v>
      </c>
      <c r="K56" s="503"/>
      <c r="L56" s="503"/>
      <c r="M56" s="503"/>
      <c r="N56" s="503"/>
      <c r="O56" s="503"/>
      <c r="P56" s="359"/>
      <c r="Q56" s="359"/>
      <c r="R56" s="131"/>
      <c r="S56" s="131"/>
      <c r="T56" s="845">
        <f>SUM(X57)</f>
        <v>3560350</v>
      </c>
      <c r="U56" s="845"/>
      <c r="V56" s="845"/>
      <c r="W56" s="845"/>
      <c r="X56" s="865"/>
      <c r="Y56" s="677">
        <f t="shared" si="1"/>
        <v>246.17000000000007</v>
      </c>
    </row>
    <row r="57" spans="1:25" ht="23.25" customHeight="1">
      <c r="A57" s="87"/>
      <c r="B57" s="34"/>
      <c r="C57" s="751"/>
      <c r="D57" s="778"/>
      <c r="E57" s="55"/>
      <c r="F57" s="55"/>
      <c r="G57" s="27"/>
      <c r="H57" s="866">
        <f>H55</f>
        <v>395603720</v>
      </c>
      <c r="I57" s="856"/>
      <c r="J57" s="565" t="s">
        <v>3</v>
      </c>
      <c r="K57" s="860">
        <v>0.09</v>
      </c>
      <c r="L57" s="860"/>
      <c r="M57" s="859" t="s">
        <v>49</v>
      </c>
      <c r="N57" s="859"/>
      <c r="O57" s="563" t="s">
        <v>26</v>
      </c>
      <c r="P57" s="861">
        <v>10</v>
      </c>
      <c r="Q57" s="861"/>
      <c r="R57" s="104"/>
      <c r="S57" s="867"/>
      <c r="T57" s="867"/>
      <c r="U57" s="361" t="s">
        <v>4</v>
      </c>
      <c r="V57" s="562"/>
      <c r="W57" s="105"/>
      <c r="X57" s="100">
        <v>3560350</v>
      </c>
      <c r="Y57" s="677">
        <f t="shared" si="1"/>
        <v>0</v>
      </c>
    </row>
    <row r="58" spans="1:25" ht="23.25" customHeight="1">
      <c r="A58" s="87"/>
      <c r="B58" s="34"/>
      <c r="C58" s="34"/>
      <c r="D58" s="750" t="s">
        <v>117</v>
      </c>
      <c r="E58" s="47">
        <f>T58/1000</f>
        <v>3085.65</v>
      </c>
      <c r="F58" s="47">
        <v>2872.28</v>
      </c>
      <c r="G58" s="647">
        <f>E58-F58</f>
        <v>213.3699999999999</v>
      </c>
      <c r="H58" s="781" t="s">
        <v>309</v>
      </c>
      <c r="I58" s="782"/>
      <c r="J58" s="574" t="s">
        <v>40</v>
      </c>
      <c r="K58" s="153"/>
      <c r="L58" s="153"/>
      <c r="M58" s="153"/>
      <c r="N58" s="153"/>
      <c r="O58" s="153"/>
      <c r="P58" s="60"/>
      <c r="Q58" s="60"/>
      <c r="R58" s="574"/>
      <c r="S58" s="574"/>
      <c r="T58" s="788">
        <f>SUM(X59)</f>
        <v>3085650</v>
      </c>
      <c r="U58" s="788"/>
      <c r="V58" s="788"/>
      <c r="W58" s="788"/>
      <c r="X58" s="846"/>
      <c r="Y58" s="677">
        <f t="shared" si="1"/>
        <v>213.3699999999999</v>
      </c>
    </row>
    <row r="59" spans="1:25" ht="23.25" customHeight="1">
      <c r="A59" s="87"/>
      <c r="B59" s="34"/>
      <c r="C59" s="26"/>
      <c r="D59" s="778"/>
      <c r="E59" s="55"/>
      <c r="F59" s="55"/>
      <c r="G59" s="27"/>
      <c r="H59" s="858">
        <f>H55</f>
        <v>395603720</v>
      </c>
      <c r="I59" s="859"/>
      <c r="J59" s="567" t="s">
        <v>3</v>
      </c>
      <c r="K59" s="860">
        <v>0.078</v>
      </c>
      <c r="L59" s="860"/>
      <c r="M59" s="859" t="s">
        <v>49</v>
      </c>
      <c r="N59" s="859"/>
      <c r="O59" s="563" t="s">
        <v>26</v>
      </c>
      <c r="P59" s="861">
        <v>10</v>
      </c>
      <c r="Q59" s="861"/>
      <c r="R59" s="90"/>
      <c r="S59" s="862"/>
      <c r="T59" s="862"/>
      <c r="U59" s="542" t="s">
        <v>4</v>
      </c>
      <c r="V59" s="566"/>
      <c r="W59" s="57"/>
      <c r="X59" s="99">
        <v>3085650</v>
      </c>
      <c r="Y59" s="677">
        <f t="shared" si="1"/>
        <v>0</v>
      </c>
    </row>
    <row r="60" spans="1:25" ht="23.25" customHeight="1">
      <c r="A60" s="87"/>
      <c r="B60" s="34"/>
      <c r="C60" s="750" t="s">
        <v>118</v>
      </c>
      <c r="D60" s="315"/>
      <c r="E60" s="49">
        <f>E61</f>
        <v>400</v>
      </c>
      <c r="F60" s="49">
        <v>400</v>
      </c>
      <c r="G60" s="663">
        <f>G61</f>
        <v>0</v>
      </c>
      <c r="H60" s="564"/>
      <c r="I60" s="565"/>
      <c r="J60" s="565"/>
      <c r="K60" s="365"/>
      <c r="L60" s="365"/>
      <c r="M60" s="565"/>
      <c r="N60" s="565"/>
      <c r="O60" s="53"/>
      <c r="P60" s="53"/>
      <c r="Q60" s="54"/>
      <c r="R60" s="104"/>
      <c r="S60" s="562"/>
      <c r="T60" s="562"/>
      <c r="U60" s="361"/>
      <c r="V60" s="562"/>
      <c r="W60" s="105"/>
      <c r="X60" s="100"/>
      <c r="Y60" s="677">
        <f t="shared" si="1"/>
        <v>0</v>
      </c>
    </row>
    <row r="61" spans="1:25" ht="23.25" customHeight="1">
      <c r="A61" s="87"/>
      <c r="B61" s="34"/>
      <c r="C61" s="751"/>
      <c r="D61" s="807" t="s">
        <v>148</v>
      </c>
      <c r="E61" s="47">
        <f>X62/1000</f>
        <v>400</v>
      </c>
      <c r="F61" s="47">
        <v>400</v>
      </c>
      <c r="G61" s="647">
        <f>E61-F61</f>
        <v>0</v>
      </c>
      <c r="H61" s="827" t="s">
        <v>149</v>
      </c>
      <c r="I61" s="826"/>
      <c r="J61" s="826"/>
      <c r="K61" s="826"/>
      <c r="L61" s="826"/>
      <c r="M61" s="826"/>
      <c r="N61" s="826"/>
      <c r="O61" s="826"/>
      <c r="P61" s="826"/>
      <c r="Q61" s="826"/>
      <c r="R61" s="826"/>
      <c r="S61" s="826"/>
      <c r="T61" s="826"/>
      <c r="U61" s="826"/>
      <c r="V61" s="826"/>
      <c r="W61" s="366"/>
      <c r="X61" s="496">
        <f>X62</f>
        <v>400000</v>
      </c>
      <c r="Y61" s="677">
        <f t="shared" si="1"/>
        <v>0</v>
      </c>
    </row>
    <row r="62" spans="1:25" ht="23.25" customHeight="1">
      <c r="A62" s="87"/>
      <c r="B62" s="26"/>
      <c r="C62" s="34"/>
      <c r="D62" s="805"/>
      <c r="E62" s="49"/>
      <c r="F62" s="49"/>
      <c r="G62" s="529"/>
      <c r="H62" s="361" t="s">
        <v>150</v>
      </c>
      <c r="I62" s="44">
        <v>100000</v>
      </c>
      <c r="J62" s="536" t="s">
        <v>3</v>
      </c>
      <c r="K62" s="766">
        <v>4</v>
      </c>
      <c r="L62" s="766"/>
      <c r="M62" s="803" t="s">
        <v>150</v>
      </c>
      <c r="N62" s="803"/>
      <c r="O62" s="803"/>
      <c r="P62" s="532"/>
      <c r="Q62" s="532"/>
      <c r="R62" s="536"/>
      <c r="S62" s="536"/>
      <c r="T62" s="536"/>
      <c r="U62" s="361" t="s">
        <v>4</v>
      </c>
      <c r="V62" s="361"/>
      <c r="W62" s="14"/>
      <c r="X62" s="91">
        <f>I62*K62</f>
        <v>400000</v>
      </c>
      <c r="Y62" s="677">
        <f t="shared" si="1"/>
        <v>0</v>
      </c>
    </row>
    <row r="63" spans="1:25" ht="23.25" customHeight="1">
      <c r="A63" s="24"/>
      <c r="B63" s="750" t="s">
        <v>119</v>
      </c>
      <c r="C63" s="25"/>
      <c r="D63" s="313"/>
      <c r="E63" s="112">
        <f>SUM(E64,,E67)</f>
        <v>800</v>
      </c>
      <c r="F63" s="112">
        <v>800</v>
      </c>
      <c r="G63" s="658">
        <f>G64</f>
        <v>0</v>
      </c>
      <c r="H63" s="527"/>
      <c r="I63" s="140"/>
      <c r="J63" s="137"/>
      <c r="K63" s="89"/>
      <c r="L63" s="89"/>
      <c r="M63" s="137"/>
      <c r="N63" s="137"/>
      <c r="O63" s="137"/>
      <c r="P63" s="139"/>
      <c r="Q63" s="139"/>
      <c r="R63" s="137"/>
      <c r="S63" s="137"/>
      <c r="T63" s="137"/>
      <c r="U63" s="528"/>
      <c r="V63" s="528"/>
      <c r="W63" s="33"/>
      <c r="X63" s="95"/>
      <c r="Y63" s="677">
        <f t="shared" si="1"/>
        <v>0</v>
      </c>
    </row>
    <row r="64" spans="1:25" ht="23.25" customHeight="1">
      <c r="A64" s="24"/>
      <c r="B64" s="751"/>
      <c r="C64" s="750" t="s">
        <v>120</v>
      </c>
      <c r="D64" s="313"/>
      <c r="E64" s="112">
        <f>E65</f>
        <v>200</v>
      </c>
      <c r="F64" s="112">
        <v>200</v>
      </c>
      <c r="G64" s="658">
        <f>G65</f>
        <v>0</v>
      </c>
      <c r="H64" s="527"/>
      <c r="I64" s="140"/>
      <c r="J64" s="137"/>
      <c r="K64" s="89"/>
      <c r="L64" s="89"/>
      <c r="M64" s="137"/>
      <c r="N64" s="137"/>
      <c r="O64" s="137"/>
      <c r="P64" s="139"/>
      <c r="Q64" s="139"/>
      <c r="R64" s="137"/>
      <c r="S64" s="137"/>
      <c r="T64" s="137"/>
      <c r="U64" s="528"/>
      <c r="V64" s="528"/>
      <c r="W64" s="33"/>
      <c r="X64" s="95"/>
      <c r="Y64" s="677">
        <f t="shared" si="1"/>
        <v>0</v>
      </c>
    </row>
    <row r="65" spans="1:25" ht="23.25" customHeight="1">
      <c r="A65" s="24"/>
      <c r="B65" s="34"/>
      <c r="C65" s="751"/>
      <c r="D65" s="807" t="s">
        <v>121</v>
      </c>
      <c r="E65" s="49">
        <f>X66/1000</f>
        <v>200</v>
      </c>
      <c r="F65" s="49">
        <v>200</v>
      </c>
      <c r="G65" s="647">
        <f>E65-F65</f>
        <v>0</v>
      </c>
      <c r="H65" s="784" t="s">
        <v>152</v>
      </c>
      <c r="I65" s="785"/>
      <c r="J65" s="785"/>
      <c r="K65" s="785"/>
      <c r="L65" s="785"/>
      <c r="M65" s="785"/>
      <c r="N65" s="785"/>
      <c r="O65" s="785"/>
      <c r="P65" s="785"/>
      <c r="Q65" s="785"/>
      <c r="R65" s="785"/>
      <c r="S65" s="785"/>
      <c r="T65" s="785"/>
      <c r="U65" s="785"/>
      <c r="V65" s="785"/>
      <c r="W65" s="785"/>
      <c r="X65" s="857"/>
      <c r="Y65" s="677">
        <f t="shared" si="1"/>
        <v>0</v>
      </c>
    </row>
    <row r="66" spans="1:25" ht="23.25" customHeight="1">
      <c r="A66" s="24"/>
      <c r="B66" s="34"/>
      <c r="C66" s="26"/>
      <c r="D66" s="805"/>
      <c r="E66" s="55"/>
      <c r="F66" s="55"/>
      <c r="G66" s="27"/>
      <c r="H66" s="106" t="s">
        <v>150</v>
      </c>
      <c r="I66" s="103">
        <v>50000</v>
      </c>
      <c r="J66" s="548" t="s">
        <v>3</v>
      </c>
      <c r="K66" s="780">
        <v>4</v>
      </c>
      <c r="L66" s="780"/>
      <c r="M66" s="803" t="s">
        <v>150</v>
      </c>
      <c r="N66" s="803"/>
      <c r="O66" s="803"/>
      <c r="P66" s="554"/>
      <c r="Q66" s="554"/>
      <c r="R66" s="548"/>
      <c r="S66" s="548"/>
      <c r="T66" s="548"/>
      <c r="U66" s="542" t="s">
        <v>4</v>
      </c>
      <c r="V66" s="542"/>
      <c r="W66" s="23"/>
      <c r="X66" s="93">
        <f>I66*K66</f>
        <v>200000</v>
      </c>
      <c r="Y66" s="677">
        <f t="shared" si="1"/>
        <v>0</v>
      </c>
    </row>
    <row r="67" spans="1:25" ht="23.25" customHeight="1">
      <c r="A67" s="24"/>
      <c r="B67" s="34"/>
      <c r="C67" s="46" t="s">
        <v>299</v>
      </c>
      <c r="D67" s="320"/>
      <c r="E67" s="112">
        <f>E68</f>
        <v>600</v>
      </c>
      <c r="F67" s="112">
        <v>600</v>
      </c>
      <c r="G67" s="68"/>
      <c r="H67" s="71"/>
      <c r="I67" s="42"/>
      <c r="J67" s="361"/>
      <c r="K67" s="67"/>
      <c r="L67" s="67"/>
      <c r="M67" s="361"/>
      <c r="N67" s="361"/>
      <c r="O67" s="361"/>
      <c r="P67" s="573"/>
      <c r="Q67" s="573"/>
      <c r="R67" s="361"/>
      <c r="S67" s="361"/>
      <c r="T67" s="361"/>
      <c r="U67" s="361"/>
      <c r="V67" s="361"/>
      <c r="W67" s="14"/>
      <c r="X67" s="91"/>
      <c r="Y67" s="677">
        <f t="shared" si="1"/>
        <v>0</v>
      </c>
    </row>
    <row r="68" spans="1:25" ht="23.25" customHeight="1">
      <c r="A68" s="24"/>
      <c r="B68" s="34"/>
      <c r="C68" s="34"/>
      <c r="D68" s="316" t="s">
        <v>300</v>
      </c>
      <c r="E68" s="47">
        <f>X69/1000</f>
        <v>600</v>
      </c>
      <c r="F68" s="47">
        <v>600</v>
      </c>
      <c r="G68" s="647">
        <f>E68-F68</f>
        <v>0</v>
      </c>
      <c r="H68" s="785" t="s">
        <v>153</v>
      </c>
      <c r="I68" s="785"/>
      <c r="J68" s="785"/>
      <c r="K68" s="785"/>
      <c r="L68" s="785"/>
      <c r="M68" s="785"/>
      <c r="N68" s="785"/>
      <c r="O68" s="785"/>
      <c r="P68" s="60"/>
      <c r="Q68" s="60"/>
      <c r="R68" s="574"/>
      <c r="S68" s="574"/>
      <c r="T68" s="574"/>
      <c r="U68" s="574"/>
      <c r="V68" s="574"/>
      <c r="W68" s="48"/>
      <c r="X68" s="59"/>
      <c r="Y68" s="677">
        <f t="shared" si="1"/>
        <v>0</v>
      </c>
    </row>
    <row r="69" spans="1:25" ht="23.25" customHeight="1">
      <c r="A69" s="24"/>
      <c r="B69" s="26"/>
      <c r="C69" s="26"/>
      <c r="D69" s="319"/>
      <c r="E69" s="55"/>
      <c r="F69" s="55"/>
      <c r="G69" s="27"/>
      <c r="H69" s="542" t="s">
        <v>6</v>
      </c>
      <c r="I69" s="545">
        <v>50000</v>
      </c>
      <c r="J69" s="548" t="s">
        <v>3</v>
      </c>
      <c r="K69" s="780">
        <v>12</v>
      </c>
      <c r="L69" s="780"/>
      <c r="M69" s="803" t="s">
        <v>6</v>
      </c>
      <c r="N69" s="803"/>
      <c r="O69" s="803"/>
      <c r="P69" s="554"/>
      <c r="Q69" s="554"/>
      <c r="R69" s="548"/>
      <c r="S69" s="548"/>
      <c r="T69" s="548"/>
      <c r="U69" s="542" t="s">
        <v>4</v>
      </c>
      <c r="V69" s="542"/>
      <c r="W69" s="23"/>
      <c r="X69" s="93">
        <f>I69*K69</f>
        <v>600000</v>
      </c>
      <c r="Y69" s="677">
        <f aca="true" t="shared" si="10" ref="Y69:Y132">E69-F69</f>
        <v>0</v>
      </c>
    </row>
    <row r="70" spans="1:25" ht="23.25" customHeight="1">
      <c r="A70" s="24"/>
      <c r="B70" s="546" t="s">
        <v>13</v>
      </c>
      <c r="C70" s="25"/>
      <c r="D70" s="313"/>
      <c r="E70" s="112">
        <f>SUM(E71,E74,E77,E81,E88,E91)</f>
        <v>23560</v>
      </c>
      <c r="F70" s="112">
        <f aca="true" t="shared" si="11" ref="F70:G70">SUM(F71,F74,F77,F81,F88,F91)</f>
        <v>17460</v>
      </c>
      <c r="G70" s="112">
        <f t="shared" si="11"/>
        <v>6100</v>
      </c>
      <c r="H70" s="528"/>
      <c r="I70" s="140"/>
      <c r="J70" s="137"/>
      <c r="K70" s="89"/>
      <c r="L70" s="89"/>
      <c r="M70" s="137"/>
      <c r="N70" s="137"/>
      <c r="O70" s="137"/>
      <c r="P70" s="139"/>
      <c r="Q70" s="139"/>
      <c r="R70" s="137"/>
      <c r="S70" s="137"/>
      <c r="T70" s="137"/>
      <c r="U70" s="528"/>
      <c r="V70" s="528"/>
      <c r="W70" s="33"/>
      <c r="X70" s="95"/>
      <c r="Y70" s="677">
        <f t="shared" si="10"/>
        <v>6100</v>
      </c>
    </row>
    <row r="71" spans="1:25" ht="23.25" customHeight="1">
      <c r="A71" s="24"/>
      <c r="B71" s="546"/>
      <c r="C71" s="34" t="s">
        <v>122</v>
      </c>
      <c r="D71" s="313"/>
      <c r="E71" s="112">
        <f>E72</f>
        <v>600</v>
      </c>
      <c r="F71" s="112">
        <v>600</v>
      </c>
      <c r="G71" s="658">
        <f>G72</f>
        <v>0</v>
      </c>
      <c r="H71" s="528"/>
      <c r="I71" s="140"/>
      <c r="J71" s="137"/>
      <c r="K71" s="89"/>
      <c r="L71" s="89"/>
      <c r="M71" s="137"/>
      <c r="N71" s="137"/>
      <c r="O71" s="137"/>
      <c r="P71" s="139"/>
      <c r="Q71" s="139"/>
      <c r="R71" s="137"/>
      <c r="S71" s="137"/>
      <c r="T71" s="137"/>
      <c r="U71" s="528"/>
      <c r="V71" s="528"/>
      <c r="W71" s="33"/>
      <c r="X71" s="95"/>
      <c r="Y71" s="677">
        <f t="shared" si="10"/>
        <v>0</v>
      </c>
    </row>
    <row r="72" spans="1:25" ht="23.25" customHeight="1">
      <c r="A72" s="24"/>
      <c r="B72" s="546"/>
      <c r="C72" s="34"/>
      <c r="D72" s="316" t="s">
        <v>123</v>
      </c>
      <c r="E72" s="47">
        <f>X73/1000</f>
        <v>600</v>
      </c>
      <c r="F72" s="47">
        <v>600</v>
      </c>
      <c r="G72" s="647">
        <f>E72-F72</f>
        <v>0</v>
      </c>
      <c r="H72" s="785" t="s">
        <v>154</v>
      </c>
      <c r="I72" s="785"/>
      <c r="J72" s="785"/>
      <c r="K72" s="785"/>
      <c r="L72" s="785"/>
      <c r="M72" s="785"/>
      <c r="N72" s="785"/>
      <c r="O72" s="785"/>
      <c r="P72" s="141"/>
      <c r="Q72" s="141"/>
      <c r="R72" s="539"/>
      <c r="S72" s="539"/>
      <c r="T72" s="539"/>
      <c r="U72" s="574"/>
      <c r="V72" s="574"/>
      <c r="W72" s="48"/>
      <c r="X72" s="59"/>
      <c r="Y72" s="677">
        <f t="shared" si="10"/>
        <v>0</v>
      </c>
    </row>
    <row r="73" spans="1:25" ht="23.25" customHeight="1">
      <c r="A73" s="24"/>
      <c r="B73" s="546"/>
      <c r="C73" s="34"/>
      <c r="D73" s="317"/>
      <c r="E73" s="55"/>
      <c r="F73" s="55"/>
      <c r="G73" s="27"/>
      <c r="H73" s="542" t="s">
        <v>6</v>
      </c>
      <c r="I73" s="103">
        <v>50000</v>
      </c>
      <c r="J73" s="548" t="s">
        <v>3</v>
      </c>
      <c r="K73" s="780">
        <v>12</v>
      </c>
      <c r="L73" s="780"/>
      <c r="M73" s="803" t="s">
        <v>6</v>
      </c>
      <c r="N73" s="803"/>
      <c r="O73" s="803"/>
      <c r="P73" s="554"/>
      <c r="Q73" s="554"/>
      <c r="R73" s="548"/>
      <c r="S73" s="548"/>
      <c r="T73" s="548"/>
      <c r="U73" s="542" t="s">
        <v>4</v>
      </c>
      <c r="V73" s="542"/>
      <c r="W73" s="23"/>
      <c r="X73" s="93">
        <f>I73*K73</f>
        <v>600000</v>
      </c>
      <c r="Y73" s="677">
        <f t="shared" si="10"/>
        <v>0</v>
      </c>
    </row>
    <row r="74" spans="1:25" ht="23.25" customHeight="1">
      <c r="A74" s="24"/>
      <c r="B74" s="546"/>
      <c r="C74" s="750" t="s">
        <v>124</v>
      </c>
      <c r="D74" s="312"/>
      <c r="E74" s="49">
        <f>E75</f>
        <v>7200</v>
      </c>
      <c r="F74" s="49">
        <v>5400</v>
      </c>
      <c r="G74" s="663">
        <f>G75</f>
        <v>1800</v>
      </c>
      <c r="H74" s="14"/>
      <c r="I74" s="42"/>
      <c r="J74" s="361"/>
      <c r="K74" s="70"/>
      <c r="L74" s="70"/>
      <c r="M74" s="361"/>
      <c r="N74" s="361"/>
      <c r="O74" s="361"/>
      <c r="P74" s="573"/>
      <c r="Q74" s="573"/>
      <c r="R74" s="361"/>
      <c r="S74" s="361"/>
      <c r="T74" s="361"/>
      <c r="U74" s="45"/>
      <c r="V74" s="361"/>
      <c r="W74" s="14"/>
      <c r="X74" s="91"/>
      <c r="Y74" s="677">
        <f t="shared" si="10"/>
        <v>1800</v>
      </c>
    </row>
    <row r="75" spans="1:25" ht="23.25" customHeight="1">
      <c r="A75" s="24"/>
      <c r="B75" s="546"/>
      <c r="C75" s="751"/>
      <c r="D75" s="807" t="s">
        <v>125</v>
      </c>
      <c r="E75" s="47">
        <f>X76/1000</f>
        <v>7200</v>
      </c>
      <c r="F75" s="47">
        <v>5400</v>
      </c>
      <c r="G75" s="647">
        <f>E75-F75</f>
        <v>1800</v>
      </c>
      <c r="H75" s="782" t="s">
        <v>155</v>
      </c>
      <c r="I75" s="782"/>
      <c r="J75" s="782"/>
      <c r="K75" s="782"/>
      <c r="L75" s="782"/>
      <c r="M75" s="782"/>
      <c r="N75" s="782"/>
      <c r="O75" s="782"/>
      <c r="P75" s="782"/>
      <c r="Q75" s="782"/>
      <c r="R75" s="782"/>
      <c r="S75" s="782"/>
      <c r="T75" s="782"/>
      <c r="U75" s="782"/>
      <c r="V75" s="782"/>
      <c r="W75" s="782"/>
      <c r="X75" s="820"/>
      <c r="Y75" s="677">
        <f t="shared" si="10"/>
        <v>1800</v>
      </c>
    </row>
    <row r="76" spans="1:25" ht="23.25" customHeight="1">
      <c r="A76" s="24"/>
      <c r="B76" s="546"/>
      <c r="C76" s="26"/>
      <c r="D76" s="805"/>
      <c r="E76" s="55"/>
      <c r="F76" s="55"/>
      <c r="G76" s="238"/>
      <c r="H76" s="542" t="s">
        <v>6</v>
      </c>
      <c r="I76" s="103">
        <v>600000</v>
      </c>
      <c r="J76" s="548" t="s">
        <v>3</v>
      </c>
      <c r="K76" s="780">
        <v>12</v>
      </c>
      <c r="L76" s="780"/>
      <c r="M76" s="803" t="s">
        <v>6</v>
      </c>
      <c r="N76" s="803"/>
      <c r="O76" s="803"/>
      <c r="P76" s="554"/>
      <c r="Q76" s="554"/>
      <c r="R76" s="548"/>
      <c r="S76" s="548"/>
      <c r="T76" s="548"/>
      <c r="U76" s="542" t="s">
        <v>4</v>
      </c>
      <c r="V76" s="542"/>
      <c r="W76" s="23"/>
      <c r="X76" s="93">
        <f>I76*K76</f>
        <v>7200000</v>
      </c>
      <c r="Y76" s="677">
        <f t="shared" si="10"/>
        <v>0</v>
      </c>
    </row>
    <row r="77" spans="1:25" ht="23.25" customHeight="1">
      <c r="A77" s="24"/>
      <c r="B77" s="546"/>
      <c r="C77" s="46" t="s">
        <v>14</v>
      </c>
      <c r="D77" s="320"/>
      <c r="E77" s="49">
        <f>E78</f>
        <v>3000</v>
      </c>
      <c r="F77" s="49">
        <v>1800</v>
      </c>
      <c r="G77" s="663">
        <f>G78</f>
        <v>1200</v>
      </c>
      <c r="H77" s="14"/>
      <c r="I77" s="42"/>
      <c r="J77" s="361"/>
      <c r="K77" s="67"/>
      <c r="L77" s="67"/>
      <c r="M77" s="361"/>
      <c r="N77" s="361"/>
      <c r="O77" s="361"/>
      <c r="P77" s="573"/>
      <c r="Q77" s="573"/>
      <c r="R77" s="361"/>
      <c r="S77" s="361"/>
      <c r="T77" s="361"/>
      <c r="U77" s="361"/>
      <c r="V77" s="361"/>
      <c r="W77" s="14"/>
      <c r="X77" s="91"/>
      <c r="Y77" s="677">
        <f t="shared" si="10"/>
        <v>1200</v>
      </c>
    </row>
    <row r="78" spans="1:25" ht="23.25" customHeight="1">
      <c r="A78" s="24"/>
      <c r="B78" s="546"/>
      <c r="C78" s="34"/>
      <c r="D78" s="316" t="s">
        <v>126</v>
      </c>
      <c r="E78" s="47">
        <f>SUM(X79:X80)/1000</f>
        <v>3000</v>
      </c>
      <c r="F78" s="47">
        <v>1800</v>
      </c>
      <c r="G78" s="647">
        <f>E78-F78</f>
        <v>1200</v>
      </c>
      <c r="H78" s="147" t="s">
        <v>156</v>
      </c>
      <c r="I78" s="147"/>
      <c r="J78" s="574"/>
      <c r="K78" s="102"/>
      <c r="L78" s="102"/>
      <c r="M78" s="574"/>
      <c r="N78" s="574"/>
      <c r="O78" s="574"/>
      <c r="P78" s="60"/>
      <c r="Q78" s="60"/>
      <c r="R78" s="574"/>
      <c r="S78" s="574"/>
      <c r="T78" s="574"/>
      <c r="U78" s="574"/>
      <c r="V78" s="574"/>
      <c r="W78" s="48"/>
      <c r="X78" s="59"/>
      <c r="Y78" s="677">
        <f t="shared" si="10"/>
        <v>1200</v>
      </c>
    </row>
    <row r="79" spans="1:26" ht="23.25" customHeight="1">
      <c r="A79" s="24"/>
      <c r="B79" s="546"/>
      <c r="C79" s="34"/>
      <c r="D79" s="312"/>
      <c r="E79" s="49"/>
      <c r="F79" s="49"/>
      <c r="G79" s="35"/>
      <c r="H79" s="253" t="s">
        <v>15</v>
      </c>
      <c r="I79" s="44">
        <v>200000</v>
      </c>
      <c r="J79" s="536" t="s">
        <v>3</v>
      </c>
      <c r="K79" s="766">
        <v>12</v>
      </c>
      <c r="L79" s="766"/>
      <c r="M79" s="789" t="s">
        <v>6</v>
      </c>
      <c r="N79" s="789"/>
      <c r="O79" s="789"/>
      <c r="P79" s="532"/>
      <c r="Q79" s="532"/>
      <c r="R79" s="536"/>
      <c r="S79" s="536"/>
      <c r="T79" s="536"/>
      <c r="U79" s="361" t="s">
        <v>4</v>
      </c>
      <c r="V79" s="361"/>
      <c r="W79" s="14"/>
      <c r="X79" s="91">
        <f>I79*K79</f>
        <v>2400000</v>
      </c>
      <c r="Y79" s="677">
        <f t="shared" si="10"/>
        <v>0</v>
      </c>
      <c r="Z79" s="13"/>
    </row>
    <row r="80" spans="1:26" ht="23.25" customHeight="1" thickBot="1">
      <c r="A80" s="72"/>
      <c r="B80" s="186"/>
      <c r="C80" s="113"/>
      <c r="D80" s="330"/>
      <c r="E80" s="114"/>
      <c r="F80" s="114"/>
      <c r="G80" s="127"/>
      <c r="H80" s="239" t="s">
        <v>158</v>
      </c>
      <c r="I80" s="160">
        <v>50000</v>
      </c>
      <c r="J80" s="550" t="s">
        <v>3</v>
      </c>
      <c r="K80" s="847">
        <v>12</v>
      </c>
      <c r="L80" s="847"/>
      <c r="M80" s="855" t="s">
        <v>6</v>
      </c>
      <c r="N80" s="855"/>
      <c r="O80" s="855"/>
      <c r="P80" s="362"/>
      <c r="Q80" s="362"/>
      <c r="R80" s="550"/>
      <c r="S80" s="550"/>
      <c r="T80" s="550"/>
      <c r="U80" s="537" t="s">
        <v>4</v>
      </c>
      <c r="V80" s="537"/>
      <c r="W80" s="86"/>
      <c r="X80" s="117">
        <f>I80*K80</f>
        <v>600000</v>
      </c>
      <c r="Y80" s="677">
        <f t="shared" si="10"/>
        <v>0</v>
      </c>
      <c r="Z80" s="13"/>
    </row>
    <row r="81" spans="1:26" ht="20.25" customHeight="1">
      <c r="A81" s="334" t="s">
        <v>100</v>
      </c>
      <c r="B81" s="505" t="s">
        <v>13</v>
      </c>
      <c r="C81" s="779" t="s">
        <v>30</v>
      </c>
      <c r="D81" s="318"/>
      <c r="E81" s="188">
        <f>E82</f>
        <v>4360</v>
      </c>
      <c r="F81" s="188">
        <v>3660</v>
      </c>
      <c r="G81" s="664">
        <f>G82</f>
        <v>700</v>
      </c>
      <c r="H81" s="79"/>
      <c r="I81" s="506"/>
      <c r="J81" s="190"/>
      <c r="K81" s="191"/>
      <c r="L81" s="191"/>
      <c r="M81" s="190"/>
      <c r="N81" s="190"/>
      <c r="O81" s="190"/>
      <c r="P81" s="192"/>
      <c r="Q81" s="192"/>
      <c r="R81" s="190"/>
      <c r="S81" s="190"/>
      <c r="T81" s="190"/>
      <c r="U81" s="79"/>
      <c r="V81" s="79"/>
      <c r="W81" s="82"/>
      <c r="X81" s="94"/>
      <c r="Y81" s="677">
        <f t="shared" si="10"/>
        <v>700</v>
      </c>
      <c r="Z81" s="13"/>
    </row>
    <row r="82" spans="1:26" ht="20.25" customHeight="1">
      <c r="A82" s="24"/>
      <c r="B82" s="546"/>
      <c r="C82" s="751"/>
      <c r="D82" s="807" t="s">
        <v>127</v>
      </c>
      <c r="E82" s="49">
        <f>SUM(X83:X87)/1000</f>
        <v>4360</v>
      </c>
      <c r="F82" s="49">
        <v>3660</v>
      </c>
      <c r="G82" s="647">
        <f>E82-F82</f>
        <v>700</v>
      </c>
      <c r="H82" s="761" t="s">
        <v>157</v>
      </c>
      <c r="I82" s="761"/>
      <c r="J82" s="761"/>
      <c r="K82" s="761"/>
      <c r="L82" s="761"/>
      <c r="M82" s="761"/>
      <c r="N82" s="761"/>
      <c r="O82" s="761"/>
      <c r="P82" s="761"/>
      <c r="Q82" s="761"/>
      <c r="R82" s="761"/>
      <c r="S82" s="761"/>
      <c r="T82" s="761"/>
      <c r="U82" s="761"/>
      <c r="V82" s="761"/>
      <c r="W82" s="761"/>
      <c r="X82" s="819"/>
      <c r="Y82" s="677">
        <f t="shared" si="10"/>
        <v>700</v>
      </c>
      <c r="Z82" s="13"/>
    </row>
    <row r="83" spans="1:26" ht="20.25" customHeight="1">
      <c r="A83" s="24"/>
      <c r="B83" s="546"/>
      <c r="C83" s="34"/>
      <c r="D83" s="804"/>
      <c r="E83" s="49"/>
      <c r="F83" s="49"/>
      <c r="G83" s="529"/>
      <c r="H83" s="560" t="s">
        <v>160</v>
      </c>
      <c r="I83" s="44">
        <v>700000</v>
      </c>
      <c r="J83" s="536" t="s">
        <v>3</v>
      </c>
      <c r="K83" s="766">
        <v>1</v>
      </c>
      <c r="L83" s="766"/>
      <c r="M83" s="789" t="s">
        <v>162</v>
      </c>
      <c r="N83" s="789"/>
      <c r="O83" s="789"/>
      <c r="P83" s="532"/>
      <c r="Q83" s="532"/>
      <c r="R83" s="536"/>
      <c r="S83" s="536"/>
      <c r="T83" s="536"/>
      <c r="U83" s="361" t="s">
        <v>4</v>
      </c>
      <c r="V83" s="361"/>
      <c r="W83" s="14"/>
      <c r="X83" s="91">
        <f>I83*K83</f>
        <v>700000</v>
      </c>
      <c r="Y83" s="677">
        <f t="shared" si="10"/>
        <v>0</v>
      </c>
      <c r="Z83" s="13"/>
    </row>
    <row r="84" spans="1:26" ht="20.25" customHeight="1">
      <c r="A84" s="24"/>
      <c r="B84" s="546"/>
      <c r="C84" s="34"/>
      <c r="D84" s="552"/>
      <c r="E84" s="49"/>
      <c r="F84" s="49"/>
      <c r="G84" s="529"/>
      <c r="H84" s="560" t="s">
        <v>294</v>
      </c>
      <c r="I84" s="44">
        <v>1500000</v>
      </c>
      <c r="J84" s="536" t="s">
        <v>3</v>
      </c>
      <c r="K84" s="766">
        <v>1</v>
      </c>
      <c r="L84" s="766"/>
      <c r="M84" s="789" t="s">
        <v>295</v>
      </c>
      <c r="N84" s="789"/>
      <c r="O84" s="536" t="s">
        <v>3</v>
      </c>
      <c r="P84" s="524">
        <v>1</v>
      </c>
      <c r="Q84" s="524" t="s">
        <v>7</v>
      </c>
      <c r="R84" s="536"/>
      <c r="S84" s="536"/>
      <c r="T84" s="536"/>
      <c r="U84" s="361" t="s">
        <v>4</v>
      </c>
      <c r="V84" s="361"/>
      <c r="W84" s="14"/>
      <c r="X84" s="91">
        <f>I84*K84*P84</f>
        <v>1500000</v>
      </c>
      <c r="Y84" s="677">
        <f t="shared" si="10"/>
        <v>0</v>
      </c>
      <c r="Z84" s="13"/>
    </row>
    <row r="85" spans="1:25" ht="20.25" customHeight="1">
      <c r="A85" s="24"/>
      <c r="B85" s="546"/>
      <c r="C85" s="34"/>
      <c r="D85" s="315"/>
      <c r="E85" s="49"/>
      <c r="F85" s="49"/>
      <c r="G85" s="35"/>
      <c r="H85" s="560" t="s">
        <v>159</v>
      </c>
      <c r="I85" s="44">
        <v>1000000</v>
      </c>
      <c r="J85" s="536" t="s">
        <v>3</v>
      </c>
      <c r="K85" s="766">
        <v>1</v>
      </c>
      <c r="L85" s="766"/>
      <c r="M85" s="789" t="s">
        <v>162</v>
      </c>
      <c r="N85" s="789"/>
      <c r="O85" s="789"/>
      <c r="P85" s="532"/>
      <c r="Q85" s="532"/>
      <c r="R85" s="536"/>
      <c r="S85" s="536"/>
      <c r="T85" s="536"/>
      <c r="U85" s="361" t="s">
        <v>4</v>
      </c>
      <c r="V85" s="361"/>
      <c r="W85" s="14"/>
      <c r="X85" s="91">
        <f>I85*K85</f>
        <v>1000000</v>
      </c>
      <c r="Y85" s="677">
        <f t="shared" si="10"/>
        <v>0</v>
      </c>
    </row>
    <row r="86" spans="1:25" ht="20.25" customHeight="1">
      <c r="A86" s="24"/>
      <c r="B86" s="546"/>
      <c r="C86" s="34"/>
      <c r="D86" s="315"/>
      <c r="E86" s="49"/>
      <c r="F86" s="49"/>
      <c r="G86" s="35"/>
      <c r="H86" s="560" t="s">
        <v>296</v>
      </c>
      <c r="I86" s="44">
        <v>80000</v>
      </c>
      <c r="J86" s="536" t="s">
        <v>3</v>
      </c>
      <c r="K86" s="766">
        <v>12</v>
      </c>
      <c r="L86" s="766"/>
      <c r="M86" s="789" t="s">
        <v>6</v>
      </c>
      <c r="N86" s="789"/>
      <c r="O86" s="789"/>
      <c r="P86" s="532"/>
      <c r="Q86" s="532"/>
      <c r="R86" s="536"/>
      <c r="S86" s="536"/>
      <c r="T86" s="536"/>
      <c r="U86" s="361" t="s">
        <v>4</v>
      </c>
      <c r="V86" s="361"/>
      <c r="W86" s="14"/>
      <c r="X86" s="91">
        <f>I86*K86</f>
        <v>960000</v>
      </c>
      <c r="Y86" s="677">
        <f t="shared" si="10"/>
        <v>0</v>
      </c>
    </row>
    <row r="87" spans="1:26" ht="20.25" customHeight="1">
      <c r="A87" s="24"/>
      <c r="B87" s="546"/>
      <c r="C87" s="34"/>
      <c r="D87" s="315"/>
      <c r="E87" s="49"/>
      <c r="F87" s="49"/>
      <c r="G87" s="35"/>
      <c r="H87" s="560" t="s">
        <v>161</v>
      </c>
      <c r="I87" s="44">
        <v>50000</v>
      </c>
      <c r="J87" s="536" t="s">
        <v>3</v>
      </c>
      <c r="K87" s="766">
        <v>4</v>
      </c>
      <c r="L87" s="766"/>
      <c r="M87" s="789" t="s">
        <v>150</v>
      </c>
      <c r="N87" s="789"/>
      <c r="O87" s="789"/>
      <c r="P87" s="532"/>
      <c r="Q87" s="532"/>
      <c r="R87" s="536"/>
      <c r="S87" s="536"/>
      <c r="T87" s="536"/>
      <c r="U87" s="361" t="s">
        <v>4</v>
      </c>
      <c r="V87" s="361"/>
      <c r="W87" s="14"/>
      <c r="X87" s="91">
        <f>I87*K87</f>
        <v>200000</v>
      </c>
      <c r="Y87" s="677">
        <f t="shared" si="10"/>
        <v>0</v>
      </c>
      <c r="Z87" s="13" t="e">
        <f>#REF!/50</f>
        <v>#REF!</v>
      </c>
    </row>
    <row r="88" spans="1:26" ht="20.25" customHeight="1">
      <c r="A88" s="24"/>
      <c r="B88" s="546"/>
      <c r="C88" s="46" t="s">
        <v>16</v>
      </c>
      <c r="D88" s="313"/>
      <c r="E88" s="112">
        <f>E89</f>
        <v>8400</v>
      </c>
      <c r="F88" s="112">
        <v>6000</v>
      </c>
      <c r="G88" s="658">
        <f>G89</f>
        <v>2400</v>
      </c>
      <c r="H88" s="33"/>
      <c r="I88" s="30"/>
      <c r="J88" s="528"/>
      <c r="K88" s="142"/>
      <c r="L88" s="142"/>
      <c r="M88" s="528"/>
      <c r="N88" s="528"/>
      <c r="O88" s="528"/>
      <c r="P88" s="32"/>
      <c r="Q88" s="32"/>
      <c r="R88" s="528"/>
      <c r="S88" s="528"/>
      <c r="T88" s="528"/>
      <c r="U88" s="143"/>
      <c r="V88" s="528"/>
      <c r="W88" s="33"/>
      <c r="X88" s="95"/>
      <c r="Y88" s="677">
        <f t="shared" si="10"/>
        <v>2400</v>
      </c>
      <c r="Z88" s="13"/>
    </row>
    <row r="89" spans="1:26" ht="20.25" customHeight="1">
      <c r="A89" s="24"/>
      <c r="B89" s="546"/>
      <c r="C89" s="34"/>
      <c r="D89" s="807" t="s">
        <v>128</v>
      </c>
      <c r="E89" s="47">
        <f>X90/1000</f>
        <v>8400</v>
      </c>
      <c r="F89" s="47">
        <v>6000</v>
      </c>
      <c r="G89" s="647">
        <f>E89-F89</f>
        <v>2400</v>
      </c>
      <c r="H89" s="147" t="s">
        <v>163</v>
      </c>
      <c r="I89" s="147"/>
      <c r="J89" s="574"/>
      <c r="K89" s="107"/>
      <c r="L89" s="107"/>
      <c r="M89" s="574"/>
      <c r="N89" s="574"/>
      <c r="O89" s="574"/>
      <c r="P89" s="60"/>
      <c r="Q89" s="60"/>
      <c r="R89" s="574"/>
      <c r="S89" s="574"/>
      <c r="T89" s="574"/>
      <c r="U89" s="108"/>
      <c r="V89" s="574"/>
      <c r="W89" s="48"/>
      <c r="X89" s="59"/>
      <c r="Y89" s="677">
        <f t="shared" si="10"/>
        <v>2400</v>
      </c>
      <c r="Z89" s="13"/>
    </row>
    <row r="90" spans="1:25" ht="20.25" customHeight="1">
      <c r="A90" s="24"/>
      <c r="B90" s="546"/>
      <c r="C90" s="26"/>
      <c r="D90" s="805"/>
      <c r="E90" s="55"/>
      <c r="F90" s="55"/>
      <c r="G90" s="238"/>
      <c r="H90" s="542" t="s">
        <v>6</v>
      </c>
      <c r="I90" s="20">
        <v>700000</v>
      </c>
      <c r="J90" s="548" t="s">
        <v>3</v>
      </c>
      <c r="K90" s="780">
        <v>12</v>
      </c>
      <c r="L90" s="780"/>
      <c r="M90" s="803" t="s">
        <v>6</v>
      </c>
      <c r="N90" s="803"/>
      <c r="O90" s="803"/>
      <c r="P90" s="554"/>
      <c r="Q90" s="554"/>
      <c r="R90" s="548"/>
      <c r="S90" s="548"/>
      <c r="T90" s="548"/>
      <c r="U90" s="542" t="s">
        <v>4</v>
      </c>
      <c r="V90" s="542"/>
      <c r="W90" s="23"/>
      <c r="X90" s="93">
        <f>I90*K90</f>
        <v>8400000</v>
      </c>
      <c r="Y90" s="677">
        <f t="shared" si="10"/>
        <v>0</v>
      </c>
    </row>
    <row r="91" spans="1:25" ht="20.25" customHeight="1">
      <c r="A91" s="24"/>
      <c r="B91" s="546"/>
      <c r="C91" s="744" t="s">
        <v>329</v>
      </c>
      <c r="D91" s="320"/>
      <c r="E91" s="49">
        <f>E92</f>
        <v>0</v>
      </c>
      <c r="F91" s="49">
        <v>0</v>
      </c>
      <c r="G91" s="663">
        <f>G92</f>
        <v>0</v>
      </c>
      <c r="H91" s="14"/>
      <c r="I91" s="42"/>
      <c r="J91" s="361"/>
      <c r="K91" s="67"/>
      <c r="L91" s="67"/>
      <c r="M91" s="361"/>
      <c r="N91" s="361"/>
      <c r="O91" s="361"/>
      <c r="P91" s="573"/>
      <c r="Q91" s="573"/>
      <c r="R91" s="361"/>
      <c r="S91" s="361"/>
      <c r="T91" s="361"/>
      <c r="U91" s="361"/>
      <c r="V91" s="361"/>
      <c r="W91" s="14"/>
      <c r="X91" s="91"/>
      <c r="Y91" s="677">
        <f t="shared" si="10"/>
        <v>0</v>
      </c>
    </row>
    <row r="92" spans="1:25" ht="20.25" customHeight="1">
      <c r="A92" s="24"/>
      <c r="B92" s="546"/>
      <c r="C92" s="745"/>
      <c r="D92" s="807" t="s">
        <v>164</v>
      </c>
      <c r="E92" s="47"/>
      <c r="F92" s="47"/>
      <c r="G92" s="647">
        <f>E92-F92</f>
        <v>0</v>
      </c>
      <c r="H92" s="785"/>
      <c r="I92" s="785"/>
      <c r="J92" s="574"/>
      <c r="K92" s="102"/>
      <c r="L92" s="102"/>
      <c r="M92" s="574"/>
      <c r="N92" s="574"/>
      <c r="O92" s="574"/>
      <c r="P92" s="60"/>
      <c r="Q92" s="60"/>
      <c r="R92" s="574"/>
      <c r="S92" s="574"/>
      <c r="T92" s="574"/>
      <c r="U92" s="574"/>
      <c r="V92" s="574"/>
      <c r="W92" s="48"/>
      <c r="X92" s="59"/>
      <c r="Y92" s="677">
        <f t="shared" si="10"/>
        <v>0</v>
      </c>
    </row>
    <row r="93" spans="1:25" ht="20.25" customHeight="1" thickBot="1">
      <c r="A93" s="72"/>
      <c r="B93" s="546"/>
      <c r="C93" s="34"/>
      <c r="D93" s="804"/>
      <c r="E93" s="49"/>
      <c r="F93" s="49"/>
      <c r="G93" s="529"/>
      <c r="H93" s="547"/>
      <c r="I93" s="547"/>
      <c r="J93" s="361"/>
      <c r="K93" s="67"/>
      <c r="L93" s="67"/>
      <c r="M93" s="361"/>
      <c r="N93" s="361"/>
      <c r="O93" s="361"/>
      <c r="P93" s="573"/>
      <c r="Q93" s="573"/>
      <c r="R93" s="361"/>
      <c r="S93" s="361"/>
      <c r="T93" s="361"/>
      <c r="U93" s="361"/>
      <c r="V93" s="361"/>
      <c r="W93" s="14"/>
      <c r="X93" s="91"/>
      <c r="Y93" s="677">
        <f t="shared" si="10"/>
        <v>0</v>
      </c>
    </row>
    <row r="94" spans="1:25" ht="20.25" customHeight="1">
      <c r="A94" s="753" t="s">
        <v>207</v>
      </c>
      <c r="B94" s="331"/>
      <c r="C94" s="158"/>
      <c r="D94" s="318"/>
      <c r="E94" s="263">
        <f>E95</f>
        <v>8800</v>
      </c>
      <c r="F94" s="263">
        <v>5160</v>
      </c>
      <c r="G94" s="670">
        <f>G95</f>
        <v>3640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59"/>
      <c r="Y94" s="677">
        <f t="shared" si="10"/>
        <v>3640</v>
      </c>
    </row>
    <row r="95" spans="1:25" ht="20.25" customHeight="1">
      <c r="A95" s="753"/>
      <c r="B95" s="68" t="s">
        <v>208</v>
      </c>
      <c r="C95" s="37"/>
      <c r="D95" s="313"/>
      <c r="E95" s="112">
        <f>SUM(E96,E99,E102)</f>
        <v>8800</v>
      </c>
      <c r="F95" s="112">
        <v>5160</v>
      </c>
      <c r="G95" s="658">
        <f>G96+G99+G102</f>
        <v>3640</v>
      </c>
      <c r="H95" s="528"/>
      <c r="I95" s="140"/>
      <c r="J95" s="137"/>
      <c r="K95" s="89"/>
      <c r="L95" s="89"/>
      <c r="M95" s="137"/>
      <c r="N95" s="137"/>
      <c r="O95" s="137"/>
      <c r="P95" s="139"/>
      <c r="Q95" s="139"/>
      <c r="R95" s="137"/>
      <c r="S95" s="137"/>
      <c r="T95" s="137"/>
      <c r="U95" s="528"/>
      <c r="V95" s="528"/>
      <c r="W95" s="33"/>
      <c r="X95" s="95"/>
      <c r="Y95" s="677">
        <f t="shared" si="10"/>
        <v>3640</v>
      </c>
    </row>
    <row r="96" spans="1:25" ht="22.5" customHeight="1">
      <c r="A96" s="24"/>
      <c r="B96" s="35"/>
      <c r="C96" s="35" t="s">
        <v>129</v>
      </c>
      <c r="D96" s="313"/>
      <c r="E96" s="112">
        <f>E97</f>
        <v>0</v>
      </c>
      <c r="F96" s="112">
        <v>0</v>
      </c>
      <c r="G96" s="658">
        <f>G97</f>
        <v>0</v>
      </c>
      <c r="H96" s="528"/>
      <c r="I96" s="140"/>
      <c r="J96" s="137"/>
      <c r="K96" s="89"/>
      <c r="L96" s="89"/>
      <c r="M96" s="137"/>
      <c r="N96" s="137"/>
      <c r="O96" s="137"/>
      <c r="P96" s="139"/>
      <c r="Q96" s="139"/>
      <c r="R96" s="137"/>
      <c r="S96" s="137"/>
      <c r="T96" s="137"/>
      <c r="U96" s="528"/>
      <c r="V96" s="528"/>
      <c r="W96" s="33"/>
      <c r="X96" s="95"/>
      <c r="Y96" s="677">
        <f t="shared" si="10"/>
        <v>0</v>
      </c>
    </row>
    <row r="97" spans="1:25" ht="22.5" customHeight="1">
      <c r="A97" s="24"/>
      <c r="B97" s="35"/>
      <c r="C97" s="35"/>
      <c r="D97" s="316" t="s">
        <v>130</v>
      </c>
      <c r="E97" s="47"/>
      <c r="F97" s="47"/>
      <c r="G97" s="647">
        <f>E97-F97</f>
        <v>0</v>
      </c>
      <c r="H97" s="785" t="s">
        <v>59</v>
      </c>
      <c r="I97" s="785"/>
      <c r="J97" s="539"/>
      <c r="K97" s="138"/>
      <c r="L97" s="138"/>
      <c r="M97" s="539"/>
      <c r="N97" s="539"/>
      <c r="O97" s="539"/>
      <c r="P97" s="141"/>
      <c r="Q97" s="141"/>
      <c r="R97" s="539"/>
      <c r="S97" s="539"/>
      <c r="T97" s="539"/>
      <c r="U97" s="574"/>
      <c r="V97" s="574"/>
      <c r="W97" s="48"/>
      <c r="X97" s="59"/>
      <c r="Y97" s="677">
        <f t="shared" si="10"/>
        <v>0</v>
      </c>
    </row>
    <row r="98" spans="1:25" ht="22.5" customHeight="1">
      <c r="A98" s="24"/>
      <c r="B98" s="35"/>
      <c r="C98" s="27"/>
      <c r="D98" s="317"/>
      <c r="E98" s="55"/>
      <c r="F98" s="55"/>
      <c r="G98" s="27"/>
      <c r="H98" s="800"/>
      <c r="I98" s="800"/>
      <c r="J98" s="548"/>
      <c r="K98" s="534"/>
      <c r="L98" s="534"/>
      <c r="M98" s="548"/>
      <c r="N98" s="548"/>
      <c r="O98" s="548"/>
      <c r="P98" s="554"/>
      <c r="Q98" s="554"/>
      <c r="R98" s="548"/>
      <c r="S98" s="548"/>
      <c r="T98" s="548"/>
      <c r="U98" s="542"/>
      <c r="V98" s="542"/>
      <c r="W98" s="23"/>
      <c r="X98" s="93"/>
      <c r="Y98" s="677">
        <f t="shared" si="10"/>
        <v>0</v>
      </c>
    </row>
    <row r="99" spans="1:25" ht="22.5" customHeight="1">
      <c r="A99" s="24"/>
      <c r="B99" s="35"/>
      <c r="C99" s="755" t="s">
        <v>131</v>
      </c>
      <c r="D99" s="312"/>
      <c r="E99" s="49">
        <f>E100</f>
        <v>4000</v>
      </c>
      <c r="F99" s="49">
        <v>1200</v>
      </c>
      <c r="G99" s="663">
        <f>G100</f>
        <v>2800</v>
      </c>
      <c r="H99" s="14"/>
      <c r="I99" s="42"/>
      <c r="J99" s="361"/>
      <c r="K99" s="70"/>
      <c r="L99" s="70"/>
      <c r="M99" s="361"/>
      <c r="N99" s="361"/>
      <c r="O99" s="361"/>
      <c r="P99" s="573"/>
      <c r="Q99" s="573"/>
      <c r="R99" s="361"/>
      <c r="S99" s="361"/>
      <c r="T99" s="361"/>
      <c r="U99" s="45"/>
      <c r="V99" s="361"/>
      <c r="W99" s="14"/>
      <c r="X99" s="91"/>
      <c r="Y99" s="677">
        <f t="shared" si="10"/>
        <v>2800</v>
      </c>
    </row>
    <row r="100" spans="1:25" ht="22.5" customHeight="1">
      <c r="A100" s="24"/>
      <c r="B100" s="35"/>
      <c r="C100" s="755"/>
      <c r="D100" s="808" t="s">
        <v>132</v>
      </c>
      <c r="E100" s="47">
        <f>X101/1000</f>
        <v>4000</v>
      </c>
      <c r="F100" s="47">
        <v>1200</v>
      </c>
      <c r="G100" s="647">
        <f>E100-F100</f>
        <v>2800</v>
      </c>
      <c r="H100" s="785" t="s">
        <v>59</v>
      </c>
      <c r="I100" s="785"/>
      <c r="J100" s="574"/>
      <c r="K100" s="107"/>
      <c r="L100" s="107"/>
      <c r="M100" s="574"/>
      <c r="N100" s="574"/>
      <c r="O100" s="574"/>
      <c r="P100" s="60"/>
      <c r="Q100" s="60"/>
      <c r="R100" s="574"/>
      <c r="S100" s="574"/>
      <c r="T100" s="574"/>
      <c r="U100" s="108"/>
      <c r="V100" s="574"/>
      <c r="W100" s="48"/>
      <c r="X100" s="59">
        <f>X101</f>
        <v>4000000</v>
      </c>
      <c r="Y100" s="677">
        <f t="shared" si="10"/>
        <v>2800</v>
      </c>
    </row>
    <row r="101" spans="1:25" ht="22.5" customHeight="1">
      <c r="A101" s="24"/>
      <c r="B101" s="35"/>
      <c r="C101" s="35"/>
      <c r="D101" s="809"/>
      <c r="E101" s="55"/>
      <c r="F101" s="55"/>
      <c r="G101" s="238"/>
      <c r="H101" s="542" t="s">
        <v>150</v>
      </c>
      <c r="I101" s="103">
        <v>1000000</v>
      </c>
      <c r="J101" s="548" t="s">
        <v>3</v>
      </c>
      <c r="K101" s="780">
        <v>4</v>
      </c>
      <c r="L101" s="780"/>
      <c r="M101" s="803" t="s">
        <v>150</v>
      </c>
      <c r="N101" s="803"/>
      <c r="O101" s="803"/>
      <c r="P101" s="554"/>
      <c r="Q101" s="554"/>
      <c r="R101" s="548"/>
      <c r="S101" s="548"/>
      <c r="T101" s="548"/>
      <c r="U101" s="542" t="s">
        <v>4</v>
      </c>
      <c r="V101" s="542"/>
      <c r="W101" s="23"/>
      <c r="X101" s="93">
        <f>I101*K101</f>
        <v>4000000</v>
      </c>
      <c r="Y101" s="677">
        <f t="shared" si="10"/>
        <v>0</v>
      </c>
    </row>
    <row r="102" spans="1:25" ht="22.5" customHeight="1">
      <c r="A102" s="24"/>
      <c r="B102" s="35"/>
      <c r="C102" s="754" t="s">
        <v>17</v>
      </c>
      <c r="D102" s="320"/>
      <c r="E102" s="49">
        <f>E103</f>
        <v>4800</v>
      </c>
      <c r="F102" s="49">
        <v>3960</v>
      </c>
      <c r="G102" s="663">
        <f>G103</f>
        <v>840</v>
      </c>
      <c r="H102" s="14"/>
      <c r="I102" s="42"/>
      <c r="J102" s="361"/>
      <c r="K102" s="67"/>
      <c r="L102" s="67"/>
      <c r="M102" s="361"/>
      <c r="N102" s="361"/>
      <c r="O102" s="361"/>
      <c r="P102" s="573"/>
      <c r="Q102" s="573"/>
      <c r="R102" s="361"/>
      <c r="S102" s="361"/>
      <c r="T102" s="361"/>
      <c r="U102" s="361"/>
      <c r="V102" s="361"/>
      <c r="W102" s="14"/>
      <c r="X102" s="91"/>
      <c r="Y102" s="677">
        <f t="shared" si="10"/>
        <v>840</v>
      </c>
    </row>
    <row r="103" spans="1:25" ht="22.5" customHeight="1">
      <c r="A103" s="24"/>
      <c r="B103" s="35"/>
      <c r="C103" s="755"/>
      <c r="D103" s="807" t="s">
        <v>133</v>
      </c>
      <c r="E103" s="47">
        <f>SUM(X104:X107)/1000</f>
        <v>4800</v>
      </c>
      <c r="F103" s="47">
        <v>3960</v>
      </c>
      <c r="G103" s="647">
        <f>E103-F103</f>
        <v>840</v>
      </c>
      <c r="H103" s="147" t="s">
        <v>165</v>
      </c>
      <c r="I103" s="147"/>
      <c r="J103" s="574"/>
      <c r="K103" s="102"/>
      <c r="L103" s="102"/>
      <c r="M103" s="574"/>
      <c r="N103" s="574"/>
      <c r="O103" s="574"/>
      <c r="P103" s="60"/>
      <c r="Q103" s="60"/>
      <c r="R103" s="574"/>
      <c r="S103" s="574"/>
      <c r="T103" s="574"/>
      <c r="U103" s="574"/>
      <c r="V103" s="574"/>
      <c r="W103" s="48"/>
      <c r="X103" s="59">
        <f>SUM(X104:X107)</f>
        <v>4800000</v>
      </c>
      <c r="Y103" s="677">
        <f t="shared" si="10"/>
        <v>840</v>
      </c>
    </row>
    <row r="104" spans="1:25" ht="18.75" customHeight="1">
      <c r="A104" s="24"/>
      <c r="B104" s="35"/>
      <c r="C104" s="529"/>
      <c r="D104" s="804"/>
      <c r="E104" s="49"/>
      <c r="F104" s="49"/>
      <c r="G104" s="529"/>
      <c r="H104" s="253" t="s">
        <v>291</v>
      </c>
      <c r="I104" s="261">
        <v>100000</v>
      </c>
      <c r="J104" s="536" t="s">
        <v>3</v>
      </c>
      <c r="K104" s="766">
        <v>12</v>
      </c>
      <c r="L104" s="766"/>
      <c r="M104" s="789" t="s">
        <v>6</v>
      </c>
      <c r="N104" s="789"/>
      <c r="O104" s="789"/>
      <c r="P104" s="532"/>
      <c r="Q104" s="532"/>
      <c r="R104" s="536"/>
      <c r="S104" s="536"/>
      <c r="T104" s="536"/>
      <c r="U104" s="361" t="s">
        <v>4</v>
      </c>
      <c r="V104" s="361"/>
      <c r="W104" s="14"/>
      <c r="X104" s="91">
        <f>I104*K104</f>
        <v>1200000</v>
      </c>
      <c r="Y104" s="677">
        <f t="shared" si="10"/>
        <v>0</v>
      </c>
    </row>
    <row r="105" spans="1:25" ht="18.75" customHeight="1">
      <c r="A105" s="24"/>
      <c r="B105" s="35"/>
      <c r="C105" s="529"/>
      <c r="D105" s="552"/>
      <c r="E105" s="49"/>
      <c r="F105" s="49"/>
      <c r="G105" s="529"/>
      <c r="H105" s="253" t="s">
        <v>310</v>
      </c>
      <c r="I105" s="261">
        <v>40000</v>
      </c>
      <c r="J105" s="536" t="s">
        <v>3</v>
      </c>
      <c r="K105" s="766">
        <v>12</v>
      </c>
      <c r="L105" s="766"/>
      <c r="M105" s="789" t="s">
        <v>6</v>
      </c>
      <c r="N105" s="789"/>
      <c r="O105" s="789"/>
      <c r="P105" s="536" t="s">
        <v>3</v>
      </c>
      <c r="Q105" s="766">
        <v>2</v>
      </c>
      <c r="R105" s="766"/>
      <c r="S105" s="536" t="s">
        <v>295</v>
      </c>
      <c r="T105" s="536"/>
      <c r="U105" s="361" t="s">
        <v>4</v>
      </c>
      <c r="V105" s="361"/>
      <c r="W105" s="14"/>
      <c r="X105" s="91">
        <f>I105*K105*Q105</f>
        <v>960000</v>
      </c>
      <c r="Y105" s="677">
        <f t="shared" si="10"/>
        <v>0</v>
      </c>
    </row>
    <row r="106" spans="1:25" ht="18.75" customHeight="1">
      <c r="A106" s="24"/>
      <c r="B106" s="35"/>
      <c r="C106" s="529"/>
      <c r="D106" s="552"/>
      <c r="E106" s="49"/>
      <c r="F106" s="49"/>
      <c r="G106" s="529"/>
      <c r="H106" s="253" t="s">
        <v>326</v>
      </c>
      <c r="I106" s="261">
        <v>120000</v>
      </c>
      <c r="J106" s="536" t="s">
        <v>3</v>
      </c>
      <c r="K106" s="766">
        <v>12</v>
      </c>
      <c r="L106" s="766"/>
      <c r="M106" s="789" t="s">
        <v>6</v>
      </c>
      <c r="N106" s="789"/>
      <c r="O106" s="789"/>
      <c r="P106" s="532"/>
      <c r="Q106" s="532"/>
      <c r="R106" s="536"/>
      <c r="S106" s="536"/>
      <c r="T106" s="536"/>
      <c r="U106" s="361" t="s">
        <v>4</v>
      </c>
      <c r="V106" s="361"/>
      <c r="W106" s="14"/>
      <c r="X106" s="91">
        <f>I106*K106</f>
        <v>1440000</v>
      </c>
      <c r="Y106" s="677">
        <f t="shared" si="10"/>
        <v>0</v>
      </c>
    </row>
    <row r="107" spans="1:25" ht="18.75" customHeight="1" thickBot="1">
      <c r="A107" s="72"/>
      <c r="B107" s="127"/>
      <c r="C107" s="127"/>
      <c r="D107" s="553"/>
      <c r="E107" s="114"/>
      <c r="F107" s="114"/>
      <c r="G107" s="250"/>
      <c r="H107" s="233" t="s">
        <v>311</v>
      </c>
      <c r="I107" s="332">
        <v>100000</v>
      </c>
      <c r="J107" s="550" t="s">
        <v>3</v>
      </c>
      <c r="K107" s="847">
        <v>12</v>
      </c>
      <c r="L107" s="847"/>
      <c r="M107" s="855" t="s">
        <v>6</v>
      </c>
      <c r="N107" s="855"/>
      <c r="O107" s="855"/>
      <c r="P107" s="362"/>
      <c r="Q107" s="362"/>
      <c r="R107" s="550"/>
      <c r="S107" s="550"/>
      <c r="T107" s="550"/>
      <c r="U107" s="537" t="s">
        <v>4</v>
      </c>
      <c r="V107" s="537"/>
      <c r="W107" s="86"/>
      <c r="X107" s="117">
        <f>I107*K107</f>
        <v>1200000</v>
      </c>
      <c r="Y107" s="677">
        <f t="shared" si="10"/>
        <v>0</v>
      </c>
    </row>
    <row r="108" spans="1:25" ht="21" customHeight="1">
      <c r="A108" s="73" t="s">
        <v>206</v>
      </c>
      <c r="B108" s="301"/>
      <c r="C108" s="187"/>
      <c r="D108" s="322"/>
      <c r="E108" s="243">
        <f>SUM(E109,E148)</f>
        <v>174715</v>
      </c>
      <c r="F108" s="243">
        <v>110995</v>
      </c>
      <c r="G108" s="664">
        <f>G109+G148</f>
        <v>63100</v>
      </c>
      <c r="H108" s="162"/>
      <c r="I108" s="162"/>
      <c r="J108" s="79"/>
      <c r="K108" s="80"/>
      <c r="L108" s="80"/>
      <c r="M108" s="79"/>
      <c r="N108" s="79"/>
      <c r="O108" s="79"/>
      <c r="P108" s="133"/>
      <c r="Q108" s="133"/>
      <c r="R108" s="79"/>
      <c r="S108" s="79"/>
      <c r="T108" s="79"/>
      <c r="U108" s="79"/>
      <c r="V108" s="79"/>
      <c r="W108" s="82"/>
      <c r="X108" s="94"/>
      <c r="Y108" s="677">
        <f t="shared" si="10"/>
        <v>63720</v>
      </c>
    </row>
    <row r="109" spans="1:25" ht="21" customHeight="1">
      <c r="A109" s="24"/>
      <c r="B109" s="68" t="s">
        <v>325</v>
      </c>
      <c r="C109" s="37"/>
      <c r="D109" s="313"/>
      <c r="E109" s="112">
        <f>SUM(E110,E121,E124,E128,E131,E134,E137,E140,E143)</f>
        <v>166175</v>
      </c>
      <c r="F109" s="112">
        <f>SUM(F110,F121,F124,F128,F131,F134,F137,F140,F143)</f>
        <v>105155</v>
      </c>
      <c r="G109" s="112">
        <f>SUM(G110,G121,G124,G128,G131,G134,G137,G140,G143)</f>
        <v>61020</v>
      </c>
      <c r="H109" s="528"/>
      <c r="I109" s="140"/>
      <c r="J109" s="137"/>
      <c r="K109" s="89"/>
      <c r="L109" s="89"/>
      <c r="M109" s="137"/>
      <c r="N109" s="137"/>
      <c r="O109" s="137"/>
      <c r="P109" s="139"/>
      <c r="Q109" s="139"/>
      <c r="R109" s="137"/>
      <c r="S109" s="137"/>
      <c r="T109" s="137"/>
      <c r="U109" s="528"/>
      <c r="V109" s="528"/>
      <c r="W109" s="33"/>
      <c r="X109" s="95"/>
      <c r="Y109" s="677">
        <f t="shared" si="10"/>
        <v>61020</v>
      </c>
    </row>
    <row r="110" spans="1:25" ht="21" customHeight="1">
      <c r="A110" s="24"/>
      <c r="B110" s="35"/>
      <c r="C110" s="35" t="s">
        <v>18</v>
      </c>
      <c r="D110" s="313"/>
      <c r="E110" s="112">
        <f>E111+E119+E116</f>
        <v>125025</v>
      </c>
      <c r="F110" s="112">
        <v>72030</v>
      </c>
      <c r="G110" s="658">
        <f>G111+G116+G119</f>
        <v>52995</v>
      </c>
      <c r="H110" s="669"/>
      <c r="I110" s="140"/>
      <c r="J110" s="137"/>
      <c r="K110" s="89"/>
      <c r="L110" s="89"/>
      <c r="M110" s="137"/>
      <c r="N110" s="137"/>
      <c r="O110" s="137"/>
      <c r="P110" s="139"/>
      <c r="Q110" s="139"/>
      <c r="R110" s="137"/>
      <c r="S110" s="137"/>
      <c r="T110" s="137"/>
      <c r="U110" s="528"/>
      <c r="V110" s="528"/>
      <c r="W110" s="33"/>
      <c r="X110" s="95"/>
      <c r="Y110" s="677">
        <f t="shared" si="10"/>
        <v>52995</v>
      </c>
    </row>
    <row r="111" spans="1:25" ht="18.75" customHeight="1">
      <c r="A111" s="24"/>
      <c r="B111" s="35"/>
      <c r="C111" s="35"/>
      <c r="D111" s="316" t="s">
        <v>134</v>
      </c>
      <c r="E111" s="49">
        <f>X111/1000</f>
        <v>118140</v>
      </c>
      <c r="F111" s="49">
        <v>67290</v>
      </c>
      <c r="G111" s="647">
        <f>E111-F111</f>
        <v>50850</v>
      </c>
      <c r="H111" s="789" t="s">
        <v>170</v>
      </c>
      <c r="I111" s="789"/>
      <c r="J111" s="789"/>
      <c r="K111" s="789"/>
      <c r="L111" s="789"/>
      <c r="M111" s="789"/>
      <c r="N111" s="789"/>
      <c r="O111" s="361"/>
      <c r="P111" s="153"/>
      <c r="Q111" s="480"/>
      <c r="R111" s="480"/>
      <c r="S111" s="480"/>
      <c r="T111" s="480"/>
      <c r="U111" s="480"/>
      <c r="V111" s="361"/>
      <c r="W111" s="14"/>
      <c r="X111" s="504">
        <f>SUM(X112:X115)</f>
        <v>118140000</v>
      </c>
      <c r="Y111" s="677">
        <f t="shared" si="10"/>
        <v>50850</v>
      </c>
    </row>
    <row r="112" spans="1:25" ht="18.75" customHeight="1">
      <c r="A112" s="24"/>
      <c r="B112" s="35"/>
      <c r="C112" s="35"/>
      <c r="D112" s="315"/>
      <c r="E112" s="49"/>
      <c r="F112" s="49"/>
      <c r="G112" s="35"/>
      <c r="H112" s="361" t="s">
        <v>472</v>
      </c>
      <c r="I112" s="44">
        <v>170000</v>
      </c>
      <c r="J112" s="536" t="s">
        <v>3</v>
      </c>
      <c r="K112" s="766">
        <v>50</v>
      </c>
      <c r="L112" s="766"/>
      <c r="M112" s="536" t="s">
        <v>5</v>
      </c>
      <c r="N112" s="536" t="s">
        <v>3</v>
      </c>
      <c r="O112" s="536"/>
      <c r="P112" s="532">
        <v>6</v>
      </c>
      <c r="Q112" s="789" t="s">
        <v>6</v>
      </c>
      <c r="R112" s="789"/>
      <c r="S112" s="536"/>
      <c r="T112" s="536"/>
      <c r="U112" s="361" t="s">
        <v>4</v>
      </c>
      <c r="V112" s="361"/>
      <c r="W112" s="14"/>
      <c r="X112" s="91">
        <f>ROUNDDOWN((I112*K112*P112),-1)</f>
        <v>51000000</v>
      </c>
      <c r="Y112" s="677">
        <f t="shared" si="10"/>
        <v>0</v>
      </c>
    </row>
    <row r="113" spans="1:25" ht="18.75" customHeight="1">
      <c r="A113" s="24"/>
      <c r="B113" s="35"/>
      <c r="C113" s="35"/>
      <c r="D113" s="315"/>
      <c r="E113" s="49"/>
      <c r="F113" s="49"/>
      <c r="G113" s="35"/>
      <c r="H113" s="361" t="s">
        <v>471</v>
      </c>
      <c r="I113" s="44">
        <v>180000</v>
      </c>
      <c r="J113" s="536" t="s">
        <v>3</v>
      </c>
      <c r="K113" s="766">
        <v>55</v>
      </c>
      <c r="L113" s="766"/>
      <c r="M113" s="536" t="s">
        <v>5</v>
      </c>
      <c r="N113" s="536" t="s">
        <v>3</v>
      </c>
      <c r="O113" s="536"/>
      <c r="P113" s="532">
        <v>6</v>
      </c>
      <c r="Q113" s="789" t="s">
        <v>6</v>
      </c>
      <c r="R113" s="789"/>
      <c r="S113" s="536"/>
      <c r="T113" s="536"/>
      <c r="U113" s="361" t="s">
        <v>4</v>
      </c>
      <c r="V113" s="361"/>
      <c r="W113" s="14"/>
      <c r="X113" s="91">
        <f>ROUNDDOWN((I113*K113*P113),-1)</f>
        <v>59400000</v>
      </c>
      <c r="Y113" s="677">
        <f t="shared" si="10"/>
        <v>0</v>
      </c>
    </row>
    <row r="114" spans="1:25" ht="18.75" customHeight="1">
      <c r="A114" s="24"/>
      <c r="B114" s="35"/>
      <c r="C114" s="35"/>
      <c r="D114" s="315"/>
      <c r="E114" s="49"/>
      <c r="F114" s="49"/>
      <c r="G114" s="35"/>
      <c r="H114" s="144" t="s">
        <v>327</v>
      </c>
      <c r="I114" s="572">
        <v>40000</v>
      </c>
      <c r="J114" s="536" t="s">
        <v>3</v>
      </c>
      <c r="K114" s="766">
        <v>13</v>
      </c>
      <c r="L114" s="766"/>
      <c r="M114" s="536" t="s">
        <v>5</v>
      </c>
      <c r="N114" s="536" t="s">
        <v>3</v>
      </c>
      <c r="O114" s="536"/>
      <c r="P114" s="776">
        <v>12</v>
      </c>
      <c r="Q114" s="776"/>
      <c r="R114" s="789" t="s">
        <v>6</v>
      </c>
      <c r="S114" s="789"/>
      <c r="T114" s="536"/>
      <c r="U114" s="361" t="s">
        <v>4</v>
      </c>
      <c r="V114" s="361"/>
      <c r="W114" s="48"/>
      <c r="X114" s="91">
        <f>I114*K114*P114</f>
        <v>6240000</v>
      </c>
      <c r="Y114" s="677">
        <f t="shared" si="10"/>
        <v>0</v>
      </c>
    </row>
    <row r="115" spans="1:25" ht="18.75" customHeight="1">
      <c r="A115" s="24"/>
      <c r="B115" s="35"/>
      <c r="C115" s="35"/>
      <c r="D115" s="317"/>
      <c r="E115" s="55"/>
      <c r="F115" s="55"/>
      <c r="G115" s="27"/>
      <c r="H115" s="23" t="s">
        <v>298</v>
      </c>
      <c r="I115" s="103">
        <v>1500000</v>
      </c>
      <c r="J115" s="548" t="s">
        <v>3</v>
      </c>
      <c r="K115" s="780">
        <v>1</v>
      </c>
      <c r="L115" s="780"/>
      <c r="M115" s="548" t="s">
        <v>7</v>
      </c>
      <c r="N115" s="542"/>
      <c r="O115" s="542" t="s">
        <v>9</v>
      </c>
      <c r="P115" s="22"/>
      <c r="Q115" s="22"/>
      <c r="R115" s="542"/>
      <c r="S115" s="542"/>
      <c r="T115" s="542"/>
      <c r="U115" s="542"/>
      <c r="V115" s="542"/>
      <c r="W115" s="23"/>
      <c r="X115" s="93">
        <f>I115*K115</f>
        <v>1500000</v>
      </c>
      <c r="Y115" s="677">
        <f t="shared" si="10"/>
        <v>0</v>
      </c>
    </row>
    <row r="116" spans="1:25" ht="21" customHeight="1">
      <c r="A116" s="24"/>
      <c r="B116" s="35"/>
      <c r="C116" s="35"/>
      <c r="D116" s="804" t="s">
        <v>313</v>
      </c>
      <c r="E116" s="49">
        <f>X116/1000</f>
        <v>3045</v>
      </c>
      <c r="F116" s="49">
        <v>1740</v>
      </c>
      <c r="G116" s="647">
        <f>E116-F116</f>
        <v>1305</v>
      </c>
      <c r="H116" s="801" t="s">
        <v>430</v>
      </c>
      <c r="I116" s="802"/>
      <c r="J116" s="802"/>
      <c r="K116" s="802"/>
      <c r="L116" s="802"/>
      <c r="M116" s="802"/>
      <c r="N116" s="361"/>
      <c r="O116" s="361"/>
      <c r="P116" s="153"/>
      <c r="Q116" s="507"/>
      <c r="R116" s="507"/>
      <c r="S116" s="507"/>
      <c r="T116" s="507"/>
      <c r="U116" s="507"/>
      <c r="V116" s="361"/>
      <c r="W116" s="14"/>
      <c r="X116" s="508">
        <f>SUM(X117:X118)</f>
        <v>3045000</v>
      </c>
      <c r="Y116" s="677">
        <f t="shared" si="10"/>
        <v>1305</v>
      </c>
    </row>
    <row r="117" spans="1:25" ht="21" customHeight="1">
      <c r="A117" s="24"/>
      <c r="B117" s="35"/>
      <c r="C117" s="35"/>
      <c r="D117" s="804"/>
      <c r="E117" s="49"/>
      <c r="F117" s="49"/>
      <c r="G117" s="529"/>
      <c r="H117" s="244" t="s">
        <v>287</v>
      </c>
      <c r="I117" s="245">
        <v>29000</v>
      </c>
      <c r="J117" s="565" t="s">
        <v>3</v>
      </c>
      <c r="K117" s="843">
        <v>50</v>
      </c>
      <c r="L117" s="843"/>
      <c r="M117" s="565" t="s">
        <v>5</v>
      </c>
      <c r="N117" s="565" t="s">
        <v>3</v>
      </c>
      <c r="O117" s="565"/>
      <c r="P117" s="246">
        <v>1</v>
      </c>
      <c r="Q117" s="246"/>
      <c r="R117" s="856" t="s">
        <v>7</v>
      </c>
      <c r="S117" s="856"/>
      <c r="T117" s="565"/>
      <c r="U117" s="562" t="s">
        <v>4</v>
      </c>
      <c r="V117" s="562"/>
      <c r="W117" s="105"/>
      <c r="X117" s="100">
        <f>I117*K117*P117</f>
        <v>1450000</v>
      </c>
      <c r="Y117" s="677">
        <f t="shared" si="10"/>
        <v>0</v>
      </c>
    </row>
    <row r="118" spans="1:25" ht="21" customHeight="1">
      <c r="A118" s="24"/>
      <c r="B118" s="35"/>
      <c r="C118" s="35"/>
      <c r="D118" s="551"/>
      <c r="E118" s="55"/>
      <c r="F118" s="55"/>
      <c r="G118" s="238"/>
      <c r="H118" s="19" t="s">
        <v>55</v>
      </c>
      <c r="I118" s="245">
        <v>29000</v>
      </c>
      <c r="J118" s="548" t="s">
        <v>3</v>
      </c>
      <c r="K118" s="780">
        <v>55</v>
      </c>
      <c r="L118" s="780"/>
      <c r="M118" s="548" t="s">
        <v>5</v>
      </c>
      <c r="N118" s="548" t="s">
        <v>3</v>
      </c>
      <c r="O118" s="548"/>
      <c r="P118" s="554">
        <v>1</v>
      </c>
      <c r="Q118" s="554"/>
      <c r="R118" s="803" t="s">
        <v>7</v>
      </c>
      <c r="S118" s="803"/>
      <c r="T118" s="548"/>
      <c r="U118" s="542" t="s">
        <v>4</v>
      </c>
      <c r="V118" s="542"/>
      <c r="W118" s="23"/>
      <c r="X118" s="93">
        <f>I118*K118*P118</f>
        <v>1595000</v>
      </c>
      <c r="Y118" s="677">
        <f t="shared" si="10"/>
        <v>0</v>
      </c>
    </row>
    <row r="119" spans="1:25" ht="21" customHeight="1">
      <c r="A119" s="24"/>
      <c r="B119" s="35"/>
      <c r="C119" s="35"/>
      <c r="D119" s="807" t="s">
        <v>312</v>
      </c>
      <c r="E119" s="47">
        <f>X119/1000</f>
        <v>3840</v>
      </c>
      <c r="F119" s="47">
        <v>3000</v>
      </c>
      <c r="G119" s="647">
        <f>E119-F119</f>
        <v>840</v>
      </c>
      <c r="H119" s="784" t="s">
        <v>297</v>
      </c>
      <c r="I119" s="785"/>
      <c r="J119" s="539"/>
      <c r="K119" s="138"/>
      <c r="L119" s="138"/>
      <c r="M119" s="539"/>
      <c r="N119" s="539"/>
      <c r="O119" s="574"/>
      <c r="P119" s="153"/>
      <c r="Q119" s="480"/>
      <c r="R119" s="480"/>
      <c r="S119" s="480"/>
      <c r="T119" s="480"/>
      <c r="U119" s="480"/>
      <c r="V119" s="574"/>
      <c r="W119" s="48"/>
      <c r="X119" s="504">
        <f>SUM(X120)</f>
        <v>3840000</v>
      </c>
      <c r="Y119" s="677">
        <f t="shared" si="10"/>
        <v>840</v>
      </c>
    </row>
    <row r="120" spans="1:25" ht="21" customHeight="1">
      <c r="A120" s="24"/>
      <c r="B120" s="34"/>
      <c r="C120" s="35"/>
      <c r="D120" s="805"/>
      <c r="E120" s="55"/>
      <c r="F120" s="55"/>
      <c r="G120" s="238"/>
      <c r="H120" s="23" t="s">
        <v>6</v>
      </c>
      <c r="I120" s="103">
        <v>320000</v>
      </c>
      <c r="J120" s="548" t="s">
        <v>3</v>
      </c>
      <c r="K120" s="780">
        <v>12</v>
      </c>
      <c r="L120" s="780"/>
      <c r="M120" s="803" t="s">
        <v>6</v>
      </c>
      <c r="N120" s="803"/>
      <c r="O120" s="542" t="s">
        <v>9</v>
      </c>
      <c r="P120" s="22"/>
      <c r="Q120" s="22"/>
      <c r="R120" s="542"/>
      <c r="S120" s="542"/>
      <c r="T120" s="542"/>
      <c r="U120" s="542"/>
      <c r="V120" s="542"/>
      <c r="W120" s="23"/>
      <c r="X120" s="93">
        <f>I120*K120</f>
        <v>3840000</v>
      </c>
      <c r="Y120" s="677">
        <f t="shared" si="10"/>
        <v>0</v>
      </c>
    </row>
    <row r="121" spans="1:25" ht="21" customHeight="1">
      <c r="A121" s="24"/>
      <c r="B121" s="34"/>
      <c r="C121" s="750" t="s">
        <v>135</v>
      </c>
      <c r="D121" s="323"/>
      <c r="E121" s="112">
        <f>E122</f>
        <v>6000</v>
      </c>
      <c r="F121" s="112">
        <v>5400</v>
      </c>
      <c r="G121" s="667">
        <f>G122</f>
        <v>600</v>
      </c>
      <c r="H121" s="528"/>
      <c r="I121" s="140"/>
      <c r="J121" s="137"/>
      <c r="K121" s="89"/>
      <c r="L121" s="89"/>
      <c r="M121" s="137"/>
      <c r="N121" s="137"/>
      <c r="O121" s="137"/>
      <c r="P121" s="139"/>
      <c r="Q121" s="139"/>
      <c r="R121" s="137"/>
      <c r="S121" s="137"/>
      <c r="T121" s="137"/>
      <c r="U121" s="528"/>
      <c r="V121" s="528"/>
      <c r="W121" s="33"/>
      <c r="X121" s="95"/>
      <c r="Y121" s="677">
        <f t="shared" si="10"/>
        <v>600</v>
      </c>
    </row>
    <row r="122" spans="1:25" ht="21" customHeight="1">
      <c r="A122" s="24"/>
      <c r="B122" s="34"/>
      <c r="C122" s="751"/>
      <c r="D122" s="807" t="s">
        <v>136</v>
      </c>
      <c r="E122" s="47">
        <f>X123/1000</f>
        <v>6000</v>
      </c>
      <c r="F122" s="47">
        <v>5400</v>
      </c>
      <c r="G122" s="647">
        <f>E122-F122</f>
        <v>600</v>
      </c>
      <c r="H122" s="827" t="s">
        <v>166</v>
      </c>
      <c r="I122" s="826"/>
      <c r="J122" s="826"/>
      <c r="K122" s="826"/>
      <c r="L122" s="826"/>
      <c r="M122" s="826"/>
      <c r="N122" s="826"/>
      <c r="O122" s="826"/>
      <c r="P122" s="826"/>
      <c r="Q122" s="826"/>
      <c r="R122" s="539"/>
      <c r="S122" s="539"/>
      <c r="T122" s="539"/>
      <c r="U122" s="574"/>
      <c r="V122" s="574"/>
      <c r="W122" s="48"/>
      <c r="X122" s="59"/>
      <c r="Y122" s="677">
        <f t="shared" si="10"/>
        <v>600</v>
      </c>
    </row>
    <row r="123" spans="1:25" ht="21" customHeight="1">
      <c r="A123" s="24"/>
      <c r="B123" s="34"/>
      <c r="C123" s="168"/>
      <c r="D123" s="805"/>
      <c r="E123" s="55"/>
      <c r="F123" s="55"/>
      <c r="G123" s="238"/>
      <c r="H123" s="542" t="s">
        <v>6</v>
      </c>
      <c r="I123" s="103">
        <v>500000</v>
      </c>
      <c r="J123" s="548" t="s">
        <v>3</v>
      </c>
      <c r="K123" s="780">
        <v>12</v>
      </c>
      <c r="L123" s="780"/>
      <c r="M123" s="803" t="s">
        <v>6</v>
      </c>
      <c r="N123" s="803"/>
      <c r="O123" s="803"/>
      <c r="P123" s="554"/>
      <c r="Q123" s="554"/>
      <c r="R123" s="548"/>
      <c r="S123" s="548"/>
      <c r="T123" s="548"/>
      <c r="U123" s="542" t="s">
        <v>4</v>
      </c>
      <c r="V123" s="542"/>
      <c r="W123" s="23"/>
      <c r="X123" s="93">
        <f>I123*K123</f>
        <v>6000000</v>
      </c>
      <c r="Y123" s="677">
        <f t="shared" si="10"/>
        <v>0</v>
      </c>
    </row>
    <row r="124" spans="1:25" ht="21" customHeight="1">
      <c r="A124" s="24"/>
      <c r="B124" s="34"/>
      <c r="C124" s="68" t="s">
        <v>19</v>
      </c>
      <c r="D124" s="312"/>
      <c r="E124" s="49">
        <f>E125</f>
        <v>2750</v>
      </c>
      <c r="F124" s="49">
        <v>1925</v>
      </c>
      <c r="G124" s="663">
        <f>G125</f>
        <v>825</v>
      </c>
      <c r="H124" s="33"/>
      <c r="I124" s="30"/>
      <c r="J124" s="528"/>
      <c r="K124" s="142"/>
      <c r="L124" s="142"/>
      <c r="M124" s="528"/>
      <c r="N124" s="528"/>
      <c r="O124" s="528"/>
      <c r="P124" s="32"/>
      <c r="Q124" s="32"/>
      <c r="R124" s="528"/>
      <c r="S124" s="528"/>
      <c r="T124" s="528"/>
      <c r="U124" s="143"/>
      <c r="V124" s="528"/>
      <c r="W124" s="33"/>
      <c r="X124" s="95"/>
      <c r="Y124" s="677">
        <f t="shared" si="10"/>
        <v>825</v>
      </c>
    </row>
    <row r="125" spans="1:25" ht="21" customHeight="1">
      <c r="A125" s="24"/>
      <c r="B125" s="34"/>
      <c r="C125" s="35"/>
      <c r="D125" s="316" t="s">
        <v>137</v>
      </c>
      <c r="E125" s="47">
        <f>X125/1000</f>
        <v>2750</v>
      </c>
      <c r="F125" s="47">
        <v>1925</v>
      </c>
      <c r="G125" s="647">
        <f>E125-F125</f>
        <v>825</v>
      </c>
      <c r="H125" s="784" t="s">
        <v>167</v>
      </c>
      <c r="I125" s="785"/>
      <c r="J125" s="361"/>
      <c r="K125" s="361"/>
      <c r="L125" s="153"/>
      <c r="M125" s="480"/>
      <c r="N125" s="480"/>
      <c r="O125" s="480"/>
      <c r="P125" s="480"/>
      <c r="Q125" s="480"/>
      <c r="R125" s="361"/>
      <c r="S125" s="361"/>
      <c r="T125" s="361"/>
      <c r="U125" s="45"/>
      <c r="V125" s="361"/>
      <c r="W125" s="14"/>
      <c r="X125" s="504">
        <f>SUM(X126:X127)</f>
        <v>2750000</v>
      </c>
      <c r="Y125" s="677">
        <f t="shared" si="10"/>
        <v>825</v>
      </c>
    </row>
    <row r="126" spans="1:25" ht="21" customHeight="1">
      <c r="A126" s="24"/>
      <c r="B126" s="34"/>
      <c r="C126" s="35"/>
      <c r="D126" s="315"/>
      <c r="E126" s="49"/>
      <c r="F126" s="49"/>
      <c r="G126" s="35"/>
      <c r="H126" s="361" t="s">
        <v>469</v>
      </c>
      <c r="I126" s="44">
        <v>20000</v>
      </c>
      <c r="J126" s="536" t="s">
        <v>3</v>
      </c>
      <c r="K126" s="766">
        <v>50</v>
      </c>
      <c r="L126" s="766"/>
      <c r="M126" s="536" t="s">
        <v>5</v>
      </c>
      <c r="N126" s="536" t="s">
        <v>3</v>
      </c>
      <c r="O126" s="536"/>
      <c r="P126" s="532">
        <v>2</v>
      </c>
      <c r="Q126" s="789" t="s">
        <v>7</v>
      </c>
      <c r="R126" s="789"/>
      <c r="S126" s="536"/>
      <c r="T126" s="536"/>
      <c r="U126" s="361" t="s">
        <v>4</v>
      </c>
      <c r="V126" s="361"/>
      <c r="W126" s="14"/>
      <c r="X126" s="91">
        <f>ROUNDDOWN((I126*K126*P126),-1)</f>
        <v>2000000</v>
      </c>
      <c r="Y126" s="677">
        <f t="shared" si="10"/>
        <v>0</v>
      </c>
    </row>
    <row r="127" spans="1:25" ht="21" customHeight="1">
      <c r="A127" s="24"/>
      <c r="B127" s="34"/>
      <c r="C127" s="27"/>
      <c r="D127" s="317"/>
      <c r="E127" s="55"/>
      <c r="F127" s="55"/>
      <c r="G127" s="27"/>
      <c r="H127" s="542" t="s">
        <v>54</v>
      </c>
      <c r="I127" s="103">
        <v>15000</v>
      </c>
      <c r="J127" s="548" t="s">
        <v>3</v>
      </c>
      <c r="K127" s="780">
        <v>50</v>
      </c>
      <c r="L127" s="780"/>
      <c r="M127" s="548" t="s">
        <v>5</v>
      </c>
      <c r="N127" s="548" t="s">
        <v>3</v>
      </c>
      <c r="O127" s="548"/>
      <c r="P127" s="554">
        <v>1</v>
      </c>
      <c r="Q127" s="803" t="s">
        <v>6</v>
      </c>
      <c r="R127" s="803"/>
      <c r="S127" s="548"/>
      <c r="T127" s="548"/>
      <c r="U127" s="542" t="s">
        <v>4</v>
      </c>
      <c r="V127" s="542"/>
      <c r="W127" s="23"/>
      <c r="X127" s="93">
        <f>I127*K127*P127</f>
        <v>750000</v>
      </c>
      <c r="Y127" s="677">
        <f t="shared" si="10"/>
        <v>0</v>
      </c>
    </row>
    <row r="128" spans="1:25" ht="21" customHeight="1">
      <c r="A128" s="24"/>
      <c r="B128" s="34"/>
      <c r="C128" s="68" t="s">
        <v>31</v>
      </c>
      <c r="D128" s="320"/>
      <c r="E128" s="49">
        <f>E129</f>
        <v>1200</v>
      </c>
      <c r="F128" s="49">
        <v>1200</v>
      </c>
      <c r="G128" s="663">
        <f>G129</f>
        <v>0</v>
      </c>
      <c r="H128" s="14"/>
      <c r="I128" s="42"/>
      <c r="J128" s="361"/>
      <c r="K128" s="67"/>
      <c r="L128" s="67"/>
      <c r="M128" s="361"/>
      <c r="N128" s="361"/>
      <c r="O128" s="361"/>
      <c r="P128" s="573"/>
      <c r="Q128" s="573"/>
      <c r="R128" s="361"/>
      <c r="S128" s="361"/>
      <c r="T128" s="361"/>
      <c r="U128" s="361"/>
      <c r="V128" s="361"/>
      <c r="W128" s="14"/>
      <c r="X128" s="91"/>
      <c r="Y128" s="677">
        <f t="shared" si="10"/>
        <v>0</v>
      </c>
    </row>
    <row r="129" spans="1:25" ht="21" customHeight="1">
      <c r="A129" s="24"/>
      <c r="B129" s="34"/>
      <c r="C129" s="35"/>
      <c r="D129" s="316" t="s">
        <v>138</v>
      </c>
      <c r="E129" s="47">
        <f>X130/1000</f>
        <v>1200</v>
      </c>
      <c r="F129" s="47">
        <v>1200</v>
      </c>
      <c r="G129" s="647">
        <f>E129-F129</f>
        <v>0</v>
      </c>
      <c r="H129" s="784" t="s">
        <v>171</v>
      </c>
      <c r="I129" s="785"/>
      <c r="J129" s="785"/>
      <c r="K129" s="785"/>
      <c r="L129" s="785"/>
      <c r="M129" s="785"/>
      <c r="N129" s="785"/>
      <c r="O129" s="574"/>
      <c r="P129" s="60"/>
      <c r="Q129" s="60"/>
      <c r="R129" s="574"/>
      <c r="S129" s="574"/>
      <c r="T129" s="574"/>
      <c r="U129" s="574"/>
      <c r="V129" s="574"/>
      <c r="W129" s="48"/>
      <c r="X129" s="59">
        <f>X130</f>
        <v>1200000</v>
      </c>
      <c r="Y129" s="677">
        <f t="shared" si="10"/>
        <v>0</v>
      </c>
    </row>
    <row r="130" spans="1:25" ht="21" customHeight="1">
      <c r="A130" s="24"/>
      <c r="B130" s="34"/>
      <c r="C130" s="27"/>
      <c r="D130" s="319"/>
      <c r="E130" s="55"/>
      <c r="F130" s="55"/>
      <c r="G130" s="27"/>
      <c r="H130" s="542" t="s">
        <v>6</v>
      </c>
      <c r="I130" s="103">
        <v>100000</v>
      </c>
      <c r="J130" s="548" t="s">
        <v>3</v>
      </c>
      <c r="K130" s="780">
        <v>12</v>
      </c>
      <c r="L130" s="780"/>
      <c r="M130" s="803" t="s">
        <v>6</v>
      </c>
      <c r="N130" s="803"/>
      <c r="O130" s="803"/>
      <c r="P130" s="554"/>
      <c r="Q130" s="554"/>
      <c r="R130" s="548"/>
      <c r="S130" s="548"/>
      <c r="T130" s="548"/>
      <c r="U130" s="542" t="s">
        <v>4</v>
      </c>
      <c r="V130" s="542"/>
      <c r="W130" s="23"/>
      <c r="X130" s="93">
        <f>I130*K130</f>
        <v>1200000</v>
      </c>
      <c r="Y130" s="677">
        <f t="shared" si="10"/>
        <v>0</v>
      </c>
    </row>
    <row r="131" spans="1:25" ht="21" customHeight="1">
      <c r="A131" s="24"/>
      <c r="B131" s="34"/>
      <c r="C131" s="68" t="s">
        <v>140</v>
      </c>
      <c r="D131" s="313"/>
      <c r="E131" s="112">
        <f>E132</f>
        <v>800</v>
      </c>
      <c r="F131" s="112">
        <v>800</v>
      </c>
      <c r="G131" s="658">
        <f>G132</f>
        <v>0</v>
      </c>
      <c r="H131" s="528"/>
      <c r="I131" s="140"/>
      <c r="J131" s="137"/>
      <c r="K131" s="89"/>
      <c r="L131" s="89"/>
      <c r="M131" s="137"/>
      <c r="N131" s="137"/>
      <c r="O131" s="137"/>
      <c r="P131" s="139"/>
      <c r="Q131" s="139"/>
      <c r="R131" s="137"/>
      <c r="S131" s="137"/>
      <c r="T131" s="137"/>
      <c r="U131" s="528"/>
      <c r="V131" s="528"/>
      <c r="W131" s="33"/>
      <c r="X131" s="95"/>
      <c r="Y131" s="677">
        <f t="shared" si="10"/>
        <v>0</v>
      </c>
    </row>
    <row r="132" spans="1:25" ht="21" customHeight="1">
      <c r="A132" s="24"/>
      <c r="B132" s="34"/>
      <c r="C132" s="35"/>
      <c r="D132" s="316" t="s">
        <v>139</v>
      </c>
      <c r="E132" s="47">
        <f>X133/1000</f>
        <v>800</v>
      </c>
      <c r="F132" s="47">
        <v>800</v>
      </c>
      <c r="G132" s="647">
        <f>E132-F132</f>
        <v>0</v>
      </c>
      <c r="H132" s="784" t="s">
        <v>172</v>
      </c>
      <c r="I132" s="785"/>
      <c r="J132" s="785"/>
      <c r="K132" s="785"/>
      <c r="L132" s="785"/>
      <c r="M132" s="785"/>
      <c r="N132" s="785"/>
      <c r="O132" s="539"/>
      <c r="P132" s="141"/>
      <c r="Q132" s="141"/>
      <c r="R132" s="539"/>
      <c r="S132" s="539"/>
      <c r="T132" s="539"/>
      <c r="U132" s="574"/>
      <c r="V132" s="574"/>
      <c r="W132" s="48"/>
      <c r="X132" s="59">
        <f>X133</f>
        <v>800000</v>
      </c>
      <c r="Y132" s="677">
        <f t="shared" si="10"/>
        <v>0</v>
      </c>
    </row>
    <row r="133" spans="1:25" ht="21" customHeight="1" thickBot="1">
      <c r="A133" s="72"/>
      <c r="B133" s="113"/>
      <c r="C133" s="127"/>
      <c r="D133" s="321"/>
      <c r="E133" s="114"/>
      <c r="F133" s="114"/>
      <c r="G133" s="127"/>
      <c r="H133" s="537"/>
      <c r="I133" s="160">
        <v>800000</v>
      </c>
      <c r="J133" s="550" t="s">
        <v>3</v>
      </c>
      <c r="K133" s="847">
        <v>1</v>
      </c>
      <c r="L133" s="847"/>
      <c r="M133" s="855" t="s">
        <v>53</v>
      </c>
      <c r="N133" s="855"/>
      <c r="O133" s="550"/>
      <c r="P133" s="362"/>
      <c r="Q133" s="362"/>
      <c r="R133" s="550"/>
      <c r="S133" s="550"/>
      <c r="T133" s="550"/>
      <c r="U133" s="537" t="s">
        <v>4</v>
      </c>
      <c r="V133" s="537"/>
      <c r="W133" s="86"/>
      <c r="X133" s="117">
        <f>I133*K133</f>
        <v>800000</v>
      </c>
      <c r="Y133" s="677">
        <f aca="true" t="shared" si="12" ref="Y133:Y191">E133-F133</f>
        <v>0</v>
      </c>
    </row>
    <row r="134" spans="1:25" ht="19.5" customHeight="1">
      <c r="A134" s="73" t="s">
        <v>206</v>
      </c>
      <c r="B134" s="193" t="s">
        <v>325</v>
      </c>
      <c r="C134" s="779" t="s">
        <v>141</v>
      </c>
      <c r="D134" s="509"/>
      <c r="E134" s="264">
        <f>E135</f>
        <v>0</v>
      </c>
      <c r="F134" s="264">
        <v>0</v>
      </c>
      <c r="G134" s="665">
        <f>G135</f>
        <v>0</v>
      </c>
      <c r="H134" s="132"/>
      <c r="I134" s="130"/>
      <c r="J134" s="131"/>
      <c r="K134" s="510"/>
      <c r="L134" s="510"/>
      <c r="M134" s="131"/>
      <c r="N134" s="131"/>
      <c r="O134" s="131"/>
      <c r="P134" s="359"/>
      <c r="Q134" s="359"/>
      <c r="R134" s="131"/>
      <c r="S134" s="131"/>
      <c r="T134" s="131"/>
      <c r="U134" s="511"/>
      <c r="V134" s="131"/>
      <c r="W134" s="132"/>
      <c r="X134" s="195"/>
      <c r="Y134" s="677">
        <f t="shared" si="12"/>
        <v>0</v>
      </c>
    </row>
    <row r="135" spans="1:25" ht="19.5" customHeight="1">
      <c r="A135" s="24"/>
      <c r="B135" s="34"/>
      <c r="C135" s="751"/>
      <c r="D135" s="807" t="s">
        <v>142</v>
      </c>
      <c r="E135" s="47"/>
      <c r="F135" s="47"/>
      <c r="G135" s="647">
        <f>E135-F135</f>
        <v>0</v>
      </c>
      <c r="H135" s="784" t="s">
        <v>59</v>
      </c>
      <c r="I135" s="785"/>
      <c r="J135" s="574"/>
      <c r="K135" s="107"/>
      <c r="L135" s="107"/>
      <c r="M135" s="574"/>
      <c r="N135" s="574"/>
      <c r="O135" s="574"/>
      <c r="P135" s="60"/>
      <c r="Q135" s="60"/>
      <c r="R135" s="574"/>
      <c r="S135" s="574"/>
      <c r="T135" s="574"/>
      <c r="U135" s="108"/>
      <c r="V135" s="574"/>
      <c r="W135" s="48"/>
      <c r="X135" s="59"/>
      <c r="Y135" s="677">
        <f t="shared" si="12"/>
        <v>0</v>
      </c>
    </row>
    <row r="136" spans="1:25" ht="19.5" customHeight="1">
      <c r="A136" s="24"/>
      <c r="B136" s="34"/>
      <c r="C136" s="168"/>
      <c r="D136" s="805"/>
      <c r="E136" s="55"/>
      <c r="F136" s="55"/>
      <c r="G136" s="238"/>
      <c r="H136" s="23"/>
      <c r="I136" s="20"/>
      <c r="J136" s="542"/>
      <c r="K136" s="41"/>
      <c r="L136" s="41"/>
      <c r="M136" s="542"/>
      <c r="N136" s="542"/>
      <c r="O136" s="542"/>
      <c r="P136" s="22"/>
      <c r="Q136" s="22"/>
      <c r="R136" s="542"/>
      <c r="S136" s="542"/>
      <c r="T136" s="542"/>
      <c r="U136" s="109"/>
      <c r="V136" s="542"/>
      <c r="W136" s="23"/>
      <c r="X136" s="93"/>
      <c r="Y136" s="677">
        <f t="shared" si="12"/>
        <v>0</v>
      </c>
    </row>
    <row r="137" spans="1:25" ht="19.5" customHeight="1">
      <c r="A137" s="24"/>
      <c r="B137" s="34"/>
      <c r="C137" s="750" t="s">
        <v>143</v>
      </c>
      <c r="D137" s="557"/>
      <c r="E137" s="49">
        <f>E138</f>
        <v>0</v>
      </c>
      <c r="F137" s="49">
        <v>0</v>
      </c>
      <c r="G137" s="666">
        <f>G138</f>
        <v>0</v>
      </c>
      <c r="H137" s="14"/>
      <c r="I137" s="42"/>
      <c r="J137" s="361"/>
      <c r="K137" s="67"/>
      <c r="L137" s="67"/>
      <c r="M137" s="361"/>
      <c r="N137" s="361"/>
      <c r="O137" s="361"/>
      <c r="P137" s="573"/>
      <c r="Q137" s="573"/>
      <c r="R137" s="361"/>
      <c r="S137" s="361"/>
      <c r="T137" s="361"/>
      <c r="U137" s="361"/>
      <c r="V137" s="361"/>
      <c r="W137" s="14"/>
      <c r="X137" s="91"/>
      <c r="Y137" s="677">
        <f t="shared" si="12"/>
        <v>0</v>
      </c>
    </row>
    <row r="138" spans="1:25" ht="19.5" customHeight="1">
      <c r="A138" s="24"/>
      <c r="B138" s="34"/>
      <c r="C138" s="751"/>
      <c r="D138" s="807" t="s">
        <v>144</v>
      </c>
      <c r="E138" s="47"/>
      <c r="F138" s="47"/>
      <c r="G138" s="647">
        <f>E138-F138</f>
        <v>0</v>
      </c>
      <c r="H138" s="784" t="s">
        <v>59</v>
      </c>
      <c r="I138" s="785"/>
      <c r="J138" s="574"/>
      <c r="K138" s="102"/>
      <c r="L138" s="102"/>
      <c r="M138" s="574"/>
      <c r="N138" s="574"/>
      <c r="O138" s="574"/>
      <c r="P138" s="60"/>
      <c r="Q138" s="60"/>
      <c r="R138" s="574"/>
      <c r="S138" s="574"/>
      <c r="T138" s="574"/>
      <c r="U138" s="574"/>
      <c r="V138" s="574"/>
      <c r="W138" s="48"/>
      <c r="X138" s="59"/>
      <c r="Y138" s="677">
        <f t="shared" si="12"/>
        <v>0</v>
      </c>
    </row>
    <row r="139" spans="1:25" ht="19.5" customHeight="1">
      <c r="A139" s="24"/>
      <c r="B139" s="34"/>
      <c r="C139" s="170"/>
      <c r="D139" s="805"/>
      <c r="E139" s="55"/>
      <c r="F139" s="55"/>
      <c r="G139" s="238"/>
      <c r="H139" s="549"/>
      <c r="I139" s="549"/>
      <c r="J139" s="542"/>
      <c r="K139" s="21"/>
      <c r="L139" s="21"/>
      <c r="M139" s="542"/>
      <c r="N139" s="542"/>
      <c r="O139" s="542"/>
      <c r="P139" s="22"/>
      <c r="Q139" s="22"/>
      <c r="R139" s="542"/>
      <c r="S139" s="542"/>
      <c r="T139" s="542"/>
      <c r="U139" s="542"/>
      <c r="V139" s="542"/>
      <c r="W139" s="23"/>
      <c r="X139" s="93"/>
      <c r="Y139" s="677">
        <f t="shared" si="12"/>
        <v>0</v>
      </c>
    </row>
    <row r="140" spans="1:25" ht="19.5" customHeight="1">
      <c r="A140" s="24"/>
      <c r="B140" s="34"/>
      <c r="C140" s="750" t="s">
        <v>145</v>
      </c>
      <c r="D140" s="325"/>
      <c r="E140" s="112">
        <f>SUM(E141)</f>
        <v>7200</v>
      </c>
      <c r="F140" s="112">
        <v>4200</v>
      </c>
      <c r="G140" s="667">
        <f>G141</f>
        <v>3000</v>
      </c>
      <c r="H140" s="574"/>
      <c r="I140" s="66"/>
      <c r="J140" s="539"/>
      <c r="K140" s="138"/>
      <c r="L140" s="138"/>
      <c r="M140" s="539"/>
      <c r="N140" s="539"/>
      <c r="O140" s="539"/>
      <c r="P140" s="141"/>
      <c r="Q140" s="141"/>
      <c r="R140" s="539"/>
      <c r="S140" s="539"/>
      <c r="T140" s="539"/>
      <c r="U140" s="574"/>
      <c r="V140" s="574"/>
      <c r="W140" s="48"/>
      <c r="X140" s="59"/>
      <c r="Y140" s="677">
        <f t="shared" si="12"/>
        <v>3000</v>
      </c>
    </row>
    <row r="141" spans="1:25" ht="19.5" customHeight="1">
      <c r="A141" s="24"/>
      <c r="B141" s="34"/>
      <c r="C141" s="751"/>
      <c r="D141" s="807" t="s">
        <v>146</v>
      </c>
      <c r="E141" s="47">
        <f>SUM(X142:X142)/1000</f>
        <v>7200</v>
      </c>
      <c r="F141" s="47">
        <v>4200</v>
      </c>
      <c r="G141" s="647">
        <f>E141-F141</f>
        <v>3000</v>
      </c>
      <c r="H141" s="784" t="s">
        <v>168</v>
      </c>
      <c r="I141" s="785"/>
      <c r="J141" s="785"/>
      <c r="K141" s="785"/>
      <c r="L141" s="785"/>
      <c r="M141" s="785"/>
      <c r="N141" s="785"/>
      <c r="O141" s="785"/>
      <c r="P141" s="785"/>
      <c r="Q141" s="785"/>
      <c r="R141" s="785"/>
      <c r="S141" s="785"/>
      <c r="T141" s="539"/>
      <c r="U141" s="574"/>
      <c r="V141" s="574"/>
      <c r="W141" s="48"/>
      <c r="X141" s="59">
        <f>X142</f>
        <v>7200000</v>
      </c>
      <c r="Y141" s="677">
        <f t="shared" si="12"/>
        <v>3000</v>
      </c>
    </row>
    <row r="142" spans="1:25" ht="19.5" customHeight="1">
      <c r="A142" s="24"/>
      <c r="B142" s="34"/>
      <c r="C142" s="170"/>
      <c r="D142" s="804"/>
      <c r="E142" s="49"/>
      <c r="F142" s="49"/>
      <c r="G142" s="529"/>
      <c r="H142" s="361" t="s">
        <v>169</v>
      </c>
      <c r="I142" s="149">
        <v>12000</v>
      </c>
      <c r="J142" s="536" t="s">
        <v>3</v>
      </c>
      <c r="K142" s="766">
        <v>50</v>
      </c>
      <c r="L142" s="766"/>
      <c r="M142" s="536" t="s">
        <v>5</v>
      </c>
      <c r="N142" s="536" t="s">
        <v>3</v>
      </c>
      <c r="O142" s="536"/>
      <c r="P142" s="532">
        <v>12</v>
      </c>
      <c r="Q142" s="789" t="s">
        <v>6</v>
      </c>
      <c r="R142" s="789"/>
      <c r="S142" s="536"/>
      <c r="T142" s="536"/>
      <c r="U142" s="361" t="s">
        <v>4</v>
      </c>
      <c r="V142" s="361"/>
      <c r="W142" s="14"/>
      <c r="X142" s="91">
        <f>I142*K142*P142</f>
        <v>7200000</v>
      </c>
      <c r="Y142" s="677">
        <f t="shared" si="12"/>
        <v>0</v>
      </c>
    </row>
    <row r="143" spans="1:25" ht="19.5" customHeight="1">
      <c r="A143" s="24"/>
      <c r="B143" s="34"/>
      <c r="C143" s="171" t="s">
        <v>20</v>
      </c>
      <c r="D143" s="325"/>
      <c r="E143" s="112">
        <f>E144</f>
        <v>23200</v>
      </c>
      <c r="F143" s="112">
        <v>19600</v>
      </c>
      <c r="G143" s="667">
        <f>G144</f>
        <v>3600</v>
      </c>
      <c r="H143" s="528"/>
      <c r="I143" s="140"/>
      <c r="J143" s="137"/>
      <c r="K143" s="89"/>
      <c r="L143" s="89"/>
      <c r="M143" s="137"/>
      <c r="N143" s="137"/>
      <c r="O143" s="137"/>
      <c r="P143" s="139"/>
      <c r="Q143" s="139"/>
      <c r="R143" s="137"/>
      <c r="S143" s="137"/>
      <c r="T143" s="137"/>
      <c r="U143" s="528"/>
      <c r="V143" s="528"/>
      <c r="W143" s="33"/>
      <c r="X143" s="95"/>
      <c r="Y143" s="677">
        <f t="shared" si="12"/>
        <v>3600</v>
      </c>
    </row>
    <row r="144" spans="1:25" ht="19.5" customHeight="1">
      <c r="A144" s="24"/>
      <c r="B144" s="34"/>
      <c r="C144" s="170"/>
      <c r="D144" s="807" t="s">
        <v>147</v>
      </c>
      <c r="E144" s="47">
        <f>SUM(X145:X147)/1000</f>
        <v>23200</v>
      </c>
      <c r="F144" s="47">
        <v>19600</v>
      </c>
      <c r="G144" s="647">
        <f>E144-F144</f>
        <v>3600</v>
      </c>
      <c r="H144" s="784" t="s">
        <v>314</v>
      </c>
      <c r="I144" s="785"/>
      <c r="J144" s="785"/>
      <c r="K144" s="785"/>
      <c r="L144" s="785"/>
      <c r="M144" s="785"/>
      <c r="N144" s="539"/>
      <c r="O144" s="539"/>
      <c r="P144" s="141"/>
      <c r="Q144" s="141"/>
      <c r="R144" s="539"/>
      <c r="S144" s="539"/>
      <c r="T144" s="539"/>
      <c r="U144" s="574"/>
      <c r="V144" s="574"/>
      <c r="W144" s="48"/>
      <c r="X144" s="59"/>
      <c r="Y144" s="677">
        <f t="shared" si="12"/>
        <v>3600</v>
      </c>
    </row>
    <row r="145" spans="1:25" ht="19.5" customHeight="1">
      <c r="A145" s="24"/>
      <c r="B145" s="34"/>
      <c r="C145" s="170"/>
      <c r="D145" s="804"/>
      <c r="E145" s="49"/>
      <c r="F145" s="49"/>
      <c r="G145" s="529"/>
      <c r="H145" s="361" t="s">
        <v>443</v>
      </c>
      <c r="I145" s="544">
        <v>3000000</v>
      </c>
      <c r="J145" s="789" t="s">
        <v>3</v>
      </c>
      <c r="K145" s="789"/>
      <c r="L145" s="532">
        <v>4</v>
      </c>
      <c r="M145" s="532"/>
      <c r="N145" s="789" t="s">
        <v>6</v>
      </c>
      <c r="O145" s="789"/>
      <c r="P145" s="532"/>
      <c r="Q145" s="532"/>
      <c r="R145" s="536"/>
      <c r="S145" s="536"/>
      <c r="T145" s="536"/>
      <c r="U145" s="361" t="s">
        <v>4</v>
      </c>
      <c r="V145" s="361"/>
      <c r="W145" s="14"/>
      <c r="X145" s="91">
        <f>I145*L145</f>
        <v>12000000</v>
      </c>
      <c r="Y145" s="677">
        <f t="shared" si="12"/>
        <v>0</v>
      </c>
    </row>
    <row r="146" spans="1:25" ht="19.5" customHeight="1">
      <c r="A146" s="24"/>
      <c r="B146" s="34"/>
      <c r="C146" s="556"/>
      <c r="D146" s="324"/>
      <c r="E146" s="49"/>
      <c r="F146" s="49"/>
      <c r="G146" s="170"/>
      <c r="H146" s="361" t="s">
        <v>292</v>
      </c>
      <c r="I146" s="44">
        <v>1500000</v>
      </c>
      <c r="J146" s="789" t="s">
        <v>3</v>
      </c>
      <c r="K146" s="789"/>
      <c r="L146" s="532">
        <v>4</v>
      </c>
      <c r="M146" s="532"/>
      <c r="N146" s="789" t="s">
        <v>6</v>
      </c>
      <c r="O146" s="789"/>
      <c r="P146" s="532"/>
      <c r="Q146" s="532"/>
      <c r="R146" s="536"/>
      <c r="S146" s="536"/>
      <c r="T146" s="536"/>
      <c r="U146" s="361" t="s">
        <v>4</v>
      </c>
      <c r="V146" s="361"/>
      <c r="W146" s="14"/>
      <c r="X146" s="91">
        <f>I146*L146</f>
        <v>6000000</v>
      </c>
      <c r="Y146" s="677">
        <f t="shared" si="12"/>
        <v>0</v>
      </c>
    </row>
    <row r="147" spans="1:25" ht="19.5" customHeight="1">
      <c r="A147" s="24"/>
      <c r="B147" s="26"/>
      <c r="C147" s="166"/>
      <c r="D147" s="558"/>
      <c r="E147" s="55"/>
      <c r="F147" s="55"/>
      <c r="G147" s="168"/>
      <c r="H147" s="542" t="s">
        <v>293</v>
      </c>
      <c r="I147" s="103">
        <v>1300000</v>
      </c>
      <c r="J147" s="803" t="s">
        <v>3</v>
      </c>
      <c r="K147" s="803"/>
      <c r="L147" s="554">
        <v>4</v>
      </c>
      <c r="M147" s="554"/>
      <c r="N147" s="803" t="s">
        <v>6</v>
      </c>
      <c r="O147" s="803"/>
      <c r="P147" s="554"/>
      <c r="Q147" s="554"/>
      <c r="R147" s="548"/>
      <c r="S147" s="548"/>
      <c r="T147" s="548"/>
      <c r="U147" s="542" t="s">
        <v>4</v>
      </c>
      <c r="V147" s="542"/>
      <c r="W147" s="23"/>
      <c r="X147" s="93">
        <f>I147*L147</f>
        <v>5200000</v>
      </c>
      <c r="Y147" s="677">
        <f t="shared" si="12"/>
        <v>0</v>
      </c>
    </row>
    <row r="148" spans="1:25" ht="19.5" customHeight="1">
      <c r="A148" s="24"/>
      <c r="B148" s="35" t="s">
        <v>173</v>
      </c>
      <c r="C148" s="27"/>
      <c r="D148" s="319"/>
      <c r="E148" s="55">
        <f>SUM(E149+E153+E158+E161+E164)</f>
        <v>8540</v>
      </c>
      <c r="F148" s="55">
        <v>5840</v>
      </c>
      <c r="G148" s="668">
        <f>G149+G153+G158+G161</f>
        <v>2080</v>
      </c>
      <c r="H148" s="542"/>
      <c r="I148" s="103"/>
      <c r="J148" s="548"/>
      <c r="K148" s="548"/>
      <c r="L148" s="554"/>
      <c r="M148" s="554"/>
      <c r="N148" s="548"/>
      <c r="O148" s="548"/>
      <c r="P148" s="554"/>
      <c r="Q148" s="554"/>
      <c r="R148" s="548"/>
      <c r="S148" s="548"/>
      <c r="T148" s="548"/>
      <c r="U148" s="542"/>
      <c r="V148" s="542"/>
      <c r="W148" s="23"/>
      <c r="X148" s="93"/>
      <c r="Y148" s="677">
        <f t="shared" si="12"/>
        <v>2700</v>
      </c>
    </row>
    <row r="149" spans="1:25" ht="19.5" customHeight="1">
      <c r="A149" s="24"/>
      <c r="B149" s="35"/>
      <c r="C149" s="750" t="s">
        <v>32</v>
      </c>
      <c r="D149" s="324"/>
      <c r="E149" s="49">
        <f>E150</f>
        <v>1700</v>
      </c>
      <c r="F149" s="49">
        <v>1300</v>
      </c>
      <c r="G149" s="666">
        <f>G150</f>
        <v>400</v>
      </c>
      <c r="H149" s="14"/>
      <c r="I149" s="42"/>
      <c r="J149" s="361"/>
      <c r="K149" s="70"/>
      <c r="L149" s="70"/>
      <c r="M149" s="361"/>
      <c r="N149" s="361"/>
      <c r="O149" s="361"/>
      <c r="P149" s="573"/>
      <c r="Q149" s="573"/>
      <c r="R149" s="361"/>
      <c r="S149" s="361"/>
      <c r="T149" s="361"/>
      <c r="U149" s="45"/>
      <c r="V149" s="361"/>
      <c r="W149" s="14"/>
      <c r="X149" s="91"/>
      <c r="Y149" s="677">
        <f t="shared" si="12"/>
        <v>400</v>
      </c>
    </row>
    <row r="150" spans="1:25" ht="19.5" customHeight="1">
      <c r="A150" s="24"/>
      <c r="B150" s="35"/>
      <c r="C150" s="751"/>
      <c r="D150" s="750" t="s">
        <v>174</v>
      </c>
      <c r="E150" s="47">
        <f>SUM(X151:X152)/1000</f>
        <v>1700</v>
      </c>
      <c r="F150" s="47">
        <v>1300</v>
      </c>
      <c r="G150" s="647">
        <f>E150-F150</f>
        <v>400</v>
      </c>
      <c r="H150" s="781" t="s">
        <v>192</v>
      </c>
      <c r="I150" s="782"/>
      <c r="J150" s="782"/>
      <c r="K150" s="782"/>
      <c r="L150" s="782"/>
      <c r="M150" s="782"/>
      <c r="N150" s="782"/>
      <c r="O150" s="782"/>
      <c r="P150" s="782"/>
      <c r="Q150" s="782"/>
      <c r="R150" s="782"/>
      <c r="S150" s="782"/>
      <c r="T150" s="782"/>
      <c r="U150" s="782"/>
      <c r="V150" s="782"/>
      <c r="W150" s="363"/>
      <c r="X150" s="497">
        <f>SUM(X151:X152)</f>
        <v>1700000</v>
      </c>
      <c r="Y150" s="677">
        <f t="shared" si="12"/>
        <v>400</v>
      </c>
    </row>
    <row r="151" spans="1:25" ht="19.5" customHeight="1">
      <c r="A151" s="24"/>
      <c r="B151" s="35"/>
      <c r="C151" s="170"/>
      <c r="D151" s="751"/>
      <c r="E151" s="49"/>
      <c r="F151" s="49"/>
      <c r="G151" s="170"/>
      <c r="H151" s="536" t="s">
        <v>200</v>
      </c>
      <c r="I151" s="183">
        <v>20000</v>
      </c>
      <c r="J151" s="536" t="s">
        <v>3</v>
      </c>
      <c r="K151" s="766">
        <v>55</v>
      </c>
      <c r="L151" s="766"/>
      <c r="M151" s="536" t="s">
        <v>5</v>
      </c>
      <c r="N151" s="536" t="s">
        <v>3</v>
      </c>
      <c r="O151" s="536"/>
      <c r="P151" s="532">
        <v>1</v>
      </c>
      <c r="Q151" s="789" t="s">
        <v>7</v>
      </c>
      <c r="R151" s="789"/>
      <c r="S151" s="536"/>
      <c r="T151" s="536"/>
      <c r="U151" s="361" t="s">
        <v>4</v>
      </c>
      <c r="V151" s="361"/>
      <c r="W151" s="361"/>
      <c r="X151" s="571">
        <f>I151*K151*P151</f>
        <v>1100000</v>
      </c>
      <c r="Y151" s="677">
        <f t="shared" si="12"/>
        <v>0</v>
      </c>
    </row>
    <row r="152" spans="1:25" ht="19.5" customHeight="1">
      <c r="A152" s="24"/>
      <c r="B152" s="35"/>
      <c r="C152" s="168"/>
      <c r="D152" s="551"/>
      <c r="E152" s="55"/>
      <c r="F152" s="55"/>
      <c r="G152" s="168"/>
      <c r="H152" s="548" t="s">
        <v>201</v>
      </c>
      <c r="I152" s="545">
        <v>50000</v>
      </c>
      <c r="J152" s="548" t="s">
        <v>3</v>
      </c>
      <c r="K152" s="822">
        <v>12</v>
      </c>
      <c r="L152" s="822"/>
      <c r="M152" s="822"/>
      <c r="N152" s="803" t="s">
        <v>6</v>
      </c>
      <c r="O152" s="803"/>
      <c r="P152" s="554"/>
      <c r="Q152" s="554"/>
      <c r="R152" s="548"/>
      <c r="S152" s="548"/>
      <c r="T152" s="548"/>
      <c r="U152" s="542" t="s">
        <v>4</v>
      </c>
      <c r="V152" s="542"/>
      <c r="W152" s="23"/>
      <c r="X152" s="93">
        <f>I152*K152</f>
        <v>600000</v>
      </c>
      <c r="Y152" s="677">
        <f t="shared" si="12"/>
        <v>0</v>
      </c>
    </row>
    <row r="153" spans="1:25" ht="19.5" customHeight="1">
      <c r="A153" s="24"/>
      <c r="B153" s="35"/>
      <c r="C153" s="750" t="s">
        <v>176</v>
      </c>
      <c r="D153" s="557"/>
      <c r="E153" s="49">
        <f>E154</f>
        <v>4600</v>
      </c>
      <c r="F153" s="49">
        <v>2920</v>
      </c>
      <c r="G153" s="666">
        <f>G154</f>
        <v>1680</v>
      </c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73"/>
      <c r="Y153" s="677">
        <f t="shared" si="12"/>
        <v>1680</v>
      </c>
    </row>
    <row r="154" spans="1:25" ht="19.5" customHeight="1">
      <c r="A154" s="24"/>
      <c r="B154" s="35"/>
      <c r="C154" s="751"/>
      <c r="D154" s="807" t="s">
        <v>177</v>
      </c>
      <c r="E154" s="47">
        <f>SUM(X155:X157)/1000</f>
        <v>4600</v>
      </c>
      <c r="F154" s="47">
        <v>2920</v>
      </c>
      <c r="G154" s="647">
        <f>E154-F154</f>
        <v>1680</v>
      </c>
      <c r="H154" s="784" t="s">
        <v>193</v>
      </c>
      <c r="I154" s="785"/>
      <c r="J154" s="785"/>
      <c r="K154" s="785"/>
      <c r="L154" s="785"/>
      <c r="M154" s="785"/>
      <c r="N154" s="785"/>
      <c r="O154" s="785"/>
      <c r="P154" s="785"/>
      <c r="Q154" s="785"/>
      <c r="R154" s="785"/>
      <c r="S154" s="785"/>
      <c r="T154" s="785"/>
      <c r="U154" s="785"/>
      <c r="V154" s="785"/>
      <c r="W154" s="147"/>
      <c r="X154" s="498">
        <f>SUM(X155:X157)</f>
        <v>4600000</v>
      </c>
      <c r="Y154" s="677">
        <f t="shared" si="12"/>
        <v>1680</v>
      </c>
    </row>
    <row r="155" spans="1:25" ht="19.5" customHeight="1">
      <c r="A155" s="24"/>
      <c r="B155" s="35"/>
      <c r="C155" s="170"/>
      <c r="D155" s="804"/>
      <c r="E155" s="49"/>
      <c r="F155" s="49"/>
      <c r="G155" s="529"/>
      <c r="H155" s="536" t="s">
        <v>441</v>
      </c>
      <c r="I155" s="535">
        <v>150000</v>
      </c>
      <c r="J155" s="789" t="s">
        <v>3</v>
      </c>
      <c r="K155" s="789"/>
      <c r="L155" s="237"/>
      <c r="M155" s="536"/>
      <c r="N155" s="536"/>
      <c r="O155" s="776">
        <v>12</v>
      </c>
      <c r="P155" s="776"/>
      <c r="Q155" s="789" t="s">
        <v>6</v>
      </c>
      <c r="R155" s="789"/>
      <c r="S155" s="536"/>
      <c r="T155" s="536"/>
      <c r="U155" s="361" t="s">
        <v>4</v>
      </c>
      <c r="V155" s="544"/>
      <c r="W155" s="544"/>
      <c r="X155" s="174">
        <f>I155*O155</f>
        <v>1800000</v>
      </c>
      <c r="Y155" s="677">
        <f t="shared" si="12"/>
        <v>0</v>
      </c>
    </row>
    <row r="156" spans="1:25" ht="19.5" customHeight="1">
      <c r="A156" s="24"/>
      <c r="B156" s="35"/>
      <c r="C156" s="170"/>
      <c r="D156" s="324"/>
      <c r="E156" s="49"/>
      <c r="F156" s="49"/>
      <c r="G156" s="170"/>
      <c r="H156" s="536" t="s">
        <v>199</v>
      </c>
      <c r="I156" s="535">
        <v>150000</v>
      </c>
      <c r="J156" s="789" t="s">
        <v>3</v>
      </c>
      <c r="K156" s="789"/>
      <c r="L156" s="524"/>
      <c r="M156" s="536"/>
      <c r="N156" s="536"/>
      <c r="O156" s="776">
        <v>12</v>
      </c>
      <c r="P156" s="776"/>
      <c r="Q156" s="789" t="s">
        <v>7</v>
      </c>
      <c r="R156" s="789"/>
      <c r="S156" s="536"/>
      <c r="T156" s="536"/>
      <c r="U156" s="361" t="s">
        <v>4</v>
      </c>
      <c r="V156" s="544"/>
      <c r="W156" s="544"/>
      <c r="X156" s="174">
        <f>I156*O156</f>
        <v>1800000</v>
      </c>
      <c r="Y156" s="677">
        <f t="shared" si="12"/>
        <v>0</v>
      </c>
    </row>
    <row r="157" spans="1:25" ht="19.5" customHeight="1">
      <c r="A157" s="24"/>
      <c r="B157" s="35"/>
      <c r="C157" s="170"/>
      <c r="D157" s="324"/>
      <c r="E157" s="49"/>
      <c r="F157" s="49"/>
      <c r="G157" s="170"/>
      <c r="H157" s="536" t="s">
        <v>442</v>
      </c>
      <c r="I157" s="535">
        <v>1000000</v>
      </c>
      <c r="J157" s="789" t="s">
        <v>3</v>
      </c>
      <c r="K157" s="789"/>
      <c r="L157" s="524"/>
      <c r="M157" s="536"/>
      <c r="N157" s="536"/>
      <c r="O157" s="776">
        <v>1</v>
      </c>
      <c r="P157" s="776"/>
      <c r="Q157" s="789" t="s">
        <v>7</v>
      </c>
      <c r="R157" s="789"/>
      <c r="S157" s="536"/>
      <c r="T157" s="536"/>
      <c r="U157" s="361" t="s">
        <v>4</v>
      </c>
      <c r="V157" s="544"/>
      <c r="W157" s="544"/>
      <c r="X157" s="174">
        <f>I157*O157</f>
        <v>1000000</v>
      </c>
      <c r="Y157" s="677">
        <f t="shared" si="12"/>
        <v>0</v>
      </c>
    </row>
    <row r="158" spans="1:25" ht="19.5" customHeight="1">
      <c r="A158" s="24"/>
      <c r="B158" s="35"/>
      <c r="C158" s="750" t="s">
        <v>33</v>
      </c>
      <c r="D158" s="323"/>
      <c r="E158" s="112">
        <f>E159</f>
        <v>0</v>
      </c>
      <c r="F158" s="112">
        <v>0</v>
      </c>
      <c r="G158" s="667">
        <f>G159</f>
        <v>0</v>
      </c>
      <c r="H158" s="262"/>
      <c r="I158" s="140"/>
      <c r="J158" s="137"/>
      <c r="K158" s="89"/>
      <c r="L158" s="89"/>
      <c r="M158" s="137"/>
      <c r="N158" s="137"/>
      <c r="O158" s="137"/>
      <c r="P158" s="32"/>
      <c r="Q158" s="32"/>
      <c r="R158" s="528"/>
      <c r="S158" s="528"/>
      <c r="T158" s="528"/>
      <c r="U158" s="143"/>
      <c r="V158" s="528"/>
      <c r="W158" s="33"/>
      <c r="X158" s="95"/>
      <c r="Y158" s="677">
        <f t="shared" si="12"/>
        <v>0</v>
      </c>
    </row>
    <row r="159" spans="1:25" ht="19.5" customHeight="1">
      <c r="A159" s="24"/>
      <c r="B159" s="35"/>
      <c r="C159" s="751"/>
      <c r="D159" s="750" t="s">
        <v>175</v>
      </c>
      <c r="E159" s="47">
        <f>SUM(X160:X160)</f>
        <v>0</v>
      </c>
      <c r="F159" s="47">
        <v>0</v>
      </c>
      <c r="G159" s="647">
        <f>E159-F159</f>
        <v>0</v>
      </c>
      <c r="H159" s="760" t="s">
        <v>194</v>
      </c>
      <c r="I159" s="761"/>
      <c r="J159" s="761"/>
      <c r="K159" s="761"/>
      <c r="L159" s="761"/>
      <c r="M159" s="761"/>
      <c r="N159" s="761"/>
      <c r="O159" s="761"/>
      <c r="P159" s="60"/>
      <c r="Q159" s="60"/>
      <c r="R159" s="574"/>
      <c r="S159" s="574"/>
      <c r="T159" s="574"/>
      <c r="U159" s="108"/>
      <c r="V159" s="574"/>
      <c r="W159" s="48"/>
      <c r="X159" s="59"/>
      <c r="Y159" s="677">
        <f t="shared" si="12"/>
        <v>0</v>
      </c>
    </row>
    <row r="160" spans="1:25" ht="19.5" customHeight="1">
      <c r="A160" s="24"/>
      <c r="B160" s="35"/>
      <c r="C160" s="168"/>
      <c r="D160" s="778"/>
      <c r="E160" s="55"/>
      <c r="F160" s="55"/>
      <c r="G160" s="168"/>
      <c r="H160" s="242"/>
      <c r="I160" s="103"/>
      <c r="J160" s="803"/>
      <c r="K160" s="803"/>
      <c r="L160" s="184"/>
      <c r="M160" s="548"/>
      <c r="N160" s="554"/>
      <c r="O160" s="554"/>
      <c r="P160" s="803"/>
      <c r="Q160" s="803"/>
      <c r="R160" s="154"/>
      <c r="S160" s="548"/>
      <c r="T160" s="548"/>
      <c r="U160" s="542"/>
      <c r="V160" s="51"/>
      <c r="W160" s="20"/>
      <c r="X160" s="175"/>
      <c r="Y160" s="677">
        <f t="shared" si="12"/>
        <v>0</v>
      </c>
    </row>
    <row r="161" spans="1:25" ht="19.5" customHeight="1">
      <c r="A161" s="24"/>
      <c r="B161" s="35"/>
      <c r="C161" s="750" t="s">
        <v>178</v>
      </c>
      <c r="D161" s="557"/>
      <c r="E161" s="49">
        <f>E162</f>
        <v>0</v>
      </c>
      <c r="F161" s="49">
        <v>0</v>
      </c>
      <c r="G161" s="666">
        <f>G162</f>
        <v>0</v>
      </c>
      <c r="H161" s="14"/>
      <c r="I161" s="42"/>
      <c r="J161" s="361"/>
      <c r="K161" s="67"/>
      <c r="L161" s="67"/>
      <c r="M161" s="361"/>
      <c r="N161" s="361"/>
      <c r="O161" s="361"/>
      <c r="P161" s="573"/>
      <c r="Q161" s="573"/>
      <c r="R161" s="361"/>
      <c r="S161" s="361"/>
      <c r="T161" s="361"/>
      <c r="U161" s="361"/>
      <c r="V161" s="361"/>
      <c r="W161" s="14"/>
      <c r="X161" s="91"/>
      <c r="Y161" s="677">
        <f t="shared" si="12"/>
        <v>0</v>
      </c>
    </row>
    <row r="162" spans="1:25" ht="19.5" customHeight="1">
      <c r="A162" s="24"/>
      <c r="B162" s="35"/>
      <c r="C162" s="751"/>
      <c r="D162" s="807" t="s">
        <v>179</v>
      </c>
      <c r="E162" s="47">
        <f>SUM(X163)</f>
        <v>0</v>
      </c>
      <c r="F162" s="47">
        <v>0</v>
      </c>
      <c r="G162" s="647">
        <f>E162-F162</f>
        <v>0</v>
      </c>
      <c r="H162" s="784" t="s">
        <v>195</v>
      </c>
      <c r="I162" s="785"/>
      <c r="J162" s="785"/>
      <c r="K162" s="785"/>
      <c r="L162" s="785"/>
      <c r="M162" s="785"/>
      <c r="N162" s="785"/>
      <c r="O162" s="541"/>
      <c r="P162" s="60"/>
      <c r="Q162" s="60"/>
      <c r="R162" s="574"/>
      <c r="S162" s="574"/>
      <c r="T162" s="574"/>
      <c r="U162" s="574"/>
      <c r="V162" s="574"/>
      <c r="W162" s="48"/>
      <c r="X162" s="59"/>
      <c r="Y162" s="677">
        <f t="shared" si="12"/>
        <v>0</v>
      </c>
    </row>
    <row r="163" spans="1:25" ht="19.5" customHeight="1" thickBot="1">
      <c r="A163" s="72"/>
      <c r="B163" s="127"/>
      <c r="C163" s="181"/>
      <c r="D163" s="817"/>
      <c r="E163" s="114"/>
      <c r="F163" s="114"/>
      <c r="G163" s="250"/>
      <c r="H163" s="239"/>
      <c r="I163" s="160"/>
      <c r="J163" s="855"/>
      <c r="K163" s="855"/>
      <c r="L163" s="512"/>
      <c r="M163" s="550"/>
      <c r="N163" s="362"/>
      <c r="O163" s="362"/>
      <c r="P163" s="855"/>
      <c r="Q163" s="855"/>
      <c r="R163" s="358"/>
      <c r="S163" s="550"/>
      <c r="T163" s="550"/>
      <c r="U163" s="537"/>
      <c r="V163" s="273"/>
      <c r="W163" s="115"/>
      <c r="X163" s="513"/>
      <c r="Y163" s="677">
        <f t="shared" si="12"/>
        <v>0</v>
      </c>
    </row>
    <row r="164" spans="1:25" ht="20.25" customHeight="1">
      <c r="A164" s="73" t="s">
        <v>206</v>
      </c>
      <c r="B164" s="194" t="s">
        <v>173</v>
      </c>
      <c r="C164" s="854" t="s">
        <v>180</v>
      </c>
      <c r="D164" s="509"/>
      <c r="E164" s="264">
        <f>SUM(E165)</f>
        <v>2240</v>
      </c>
      <c r="F164" s="264">
        <v>1620</v>
      </c>
      <c r="G164" s="665">
        <f>G165</f>
        <v>620</v>
      </c>
      <c r="H164" s="132"/>
      <c r="I164" s="130"/>
      <c r="J164" s="131"/>
      <c r="K164" s="303"/>
      <c r="L164" s="303"/>
      <c r="M164" s="131"/>
      <c r="N164" s="131"/>
      <c r="O164" s="131"/>
      <c r="P164" s="359"/>
      <c r="Q164" s="359"/>
      <c r="R164" s="131"/>
      <c r="S164" s="131"/>
      <c r="T164" s="131"/>
      <c r="U164" s="131"/>
      <c r="V164" s="131"/>
      <c r="W164" s="132"/>
      <c r="X164" s="195"/>
      <c r="Y164" s="677">
        <f t="shared" si="12"/>
        <v>620</v>
      </c>
    </row>
    <row r="165" spans="1:25" ht="21" customHeight="1">
      <c r="A165" s="24"/>
      <c r="B165" s="35"/>
      <c r="C165" s="810"/>
      <c r="D165" s="750" t="s">
        <v>181</v>
      </c>
      <c r="E165" s="47">
        <f>SUM(X166:X168)/1000</f>
        <v>2240</v>
      </c>
      <c r="F165" s="47">
        <v>1620</v>
      </c>
      <c r="G165" s="647">
        <f>E165-F165</f>
        <v>620</v>
      </c>
      <c r="H165" s="147" t="s">
        <v>196</v>
      </c>
      <c r="I165" s="147"/>
      <c r="J165" s="574"/>
      <c r="K165" s="102"/>
      <c r="L165" s="102"/>
      <c r="M165" s="574"/>
      <c r="N165" s="574"/>
      <c r="O165" s="574"/>
      <c r="P165" s="60"/>
      <c r="Q165" s="60"/>
      <c r="R165" s="574"/>
      <c r="S165" s="574"/>
      <c r="T165" s="574"/>
      <c r="U165" s="574"/>
      <c r="V165" s="574"/>
      <c r="W165" s="48"/>
      <c r="X165" s="59"/>
      <c r="Y165" s="677">
        <f t="shared" si="12"/>
        <v>620</v>
      </c>
    </row>
    <row r="166" spans="1:25" ht="21" customHeight="1">
      <c r="A166" s="24"/>
      <c r="B166" s="35"/>
      <c r="C166" s="170"/>
      <c r="D166" s="751"/>
      <c r="E166" s="49"/>
      <c r="F166" s="49"/>
      <c r="G166" s="170"/>
      <c r="H166" s="241" t="s">
        <v>197</v>
      </c>
      <c r="I166" s="151">
        <v>1000000</v>
      </c>
      <c r="J166" s="536" t="s">
        <v>3</v>
      </c>
      <c r="K166" s="536"/>
      <c r="L166" s="776">
        <v>1</v>
      </c>
      <c r="M166" s="776"/>
      <c r="N166" s="789" t="s">
        <v>7</v>
      </c>
      <c r="O166" s="789"/>
      <c r="P166" s="532"/>
      <c r="Q166" s="532"/>
      <c r="R166" s="536"/>
      <c r="S166" s="536"/>
      <c r="T166" s="536"/>
      <c r="U166" s="361" t="s">
        <v>4</v>
      </c>
      <c r="V166" s="361"/>
      <c r="W166" s="14"/>
      <c r="X166" s="91">
        <f>I166*L166</f>
        <v>1000000</v>
      </c>
      <c r="Y166" s="677">
        <f t="shared" si="12"/>
        <v>0</v>
      </c>
    </row>
    <row r="167" spans="1:25" ht="21" customHeight="1">
      <c r="A167" s="24"/>
      <c r="B167" s="35"/>
      <c r="C167" s="170"/>
      <c r="D167" s="324"/>
      <c r="E167" s="49"/>
      <c r="F167" s="49"/>
      <c r="G167" s="170"/>
      <c r="H167" s="241" t="s">
        <v>198</v>
      </c>
      <c r="I167" s="151">
        <v>1000000</v>
      </c>
      <c r="J167" s="536" t="s">
        <v>3</v>
      </c>
      <c r="K167" s="536"/>
      <c r="L167" s="776">
        <v>1</v>
      </c>
      <c r="M167" s="776"/>
      <c r="N167" s="789" t="s">
        <v>7</v>
      </c>
      <c r="O167" s="789"/>
      <c r="P167" s="532"/>
      <c r="Q167" s="532"/>
      <c r="R167" s="536"/>
      <c r="S167" s="536"/>
      <c r="T167" s="536"/>
      <c r="U167" s="361" t="s">
        <v>4</v>
      </c>
      <c r="V167" s="361"/>
      <c r="W167" s="14"/>
      <c r="X167" s="91">
        <f>I167*L167</f>
        <v>1000000</v>
      </c>
      <c r="Y167" s="677">
        <f t="shared" si="12"/>
        <v>0</v>
      </c>
    </row>
    <row r="168" spans="1:25" ht="21" customHeight="1" thickBot="1">
      <c r="A168" s="24"/>
      <c r="B168" s="35"/>
      <c r="C168" s="35"/>
      <c r="D168" s="312"/>
      <c r="E168" s="49"/>
      <c r="F168" s="49"/>
      <c r="G168" s="35"/>
      <c r="H168" s="560" t="s">
        <v>316</v>
      </c>
      <c r="I168" s="151">
        <v>20000</v>
      </c>
      <c r="J168" s="536" t="s">
        <v>3</v>
      </c>
      <c r="K168" s="536"/>
      <c r="L168" s="776">
        <v>12</v>
      </c>
      <c r="M168" s="776"/>
      <c r="N168" s="789" t="s">
        <v>6</v>
      </c>
      <c r="O168" s="789"/>
      <c r="P168" s="532"/>
      <c r="Q168" s="532"/>
      <c r="R168" s="536"/>
      <c r="S168" s="536"/>
      <c r="T168" s="536"/>
      <c r="U168" s="361" t="s">
        <v>4</v>
      </c>
      <c r="V168" s="361"/>
      <c r="W168" s="14"/>
      <c r="X168" s="91">
        <f>I168*L168</f>
        <v>240000</v>
      </c>
      <c r="Y168" s="677">
        <f t="shared" si="12"/>
        <v>0</v>
      </c>
    </row>
    <row r="169" spans="1:25" ht="21" customHeight="1">
      <c r="A169" s="799" t="s">
        <v>304</v>
      </c>
      <c r="B169" s="187"/>
      <c r="C169" s="161"/>
      <c r="D169" s="322"/>
      <c r="E169" s="188">
        <f>E170</f>
        <v>0</v>
      </c>
      <c r="F169" s="188">
        <v>0</v>
      </c>
      <c r="G169" s="664">
        <f>G170</f>
        <v>0</v>
      </c>
      <c r="H169" s="597"/>
      <c r="I169" s="598"/>
      <c r="J169" s="190"/>
      <c r="K169" s="190"/>
      <c r="L169" s="192"/>
      <c r="M169" s="192"/>
      <c r="N169" s="190"/>
      <c r="O169" s="190"/>
      <c r="P169" s="192"/>
      <c r="Q169" s="192"/>
      <c r="R169" s="190"/>
      <c r="S169" s="190"/>
      <c r="T169" s="190"/>
      <c r="U169" s="79"/>
      <c r="V169" s="79"/>
      <c r="W169" s="82"/>
      <c r="X169" s="94"/>
      <c r="Y169" s="677">
        <f t="shared" si="12"/>
        <v>0</v>
      </c>
    </row>
    <row r="170" spans="1:25" ht="22.5" customHeight="1">
      <c r="A170" s="753"/>
      <c r="B170" s="758" t="s">
        <v>301</v>
      </c>
      <c r="C170" s="276"/>
      <c r="D170" s="326"/>
      <c r="E170" s="112">
        <f>E171</f>
        <v>0</v>
      </c>
      <c r="F170" s="112">
        <v>0</v>
      </c>
      <c r="G170" s="658">
        <f>G171</f>
        <v>0</v>
      </c>
      <c r="H170" s="135"/>
      <c r="I170" s="282"/>
      <c r="J170" s="137"/>
      <c r="K170" s="137"/>
      <c r="L170" s="139"/>
      <c r="M170" s="139"/>
      <c r="N170" s="137"/>
      <c r="O170" s="137"/>
      <c r="P170" s="139"/>
      <c r="Q170" s="139"/>
      <c r="R170" s="137"/>
      <c r="S170" s="137"/>
      <c r="T170" s="137"/>
      <c r="U170" s="528"/>
      <c r="V170" s="528"/>
      <c r="W170" s="33"/>
      <c r="X170" s="95"/>
      <c r="Y170" s="677">
        <f t="shared" si="12"/>
        <v>0</v>
      </c>
    </row>
    <row r="171" spans="1:25" ht="24.75" customHeight="1">
      <c r="A171" s="278"/>
      <c r="B171" s="759"/>
      <c r="C171" s="758" t="s">
        <v>302</v>
      </c>
      <c r="D171" s="326"/>
      <c r="E171" s="112">
        <f>E172</f>
        <v>0</v>
      </c>
      <c r="F171" s="112">
        <v>0</v>
      </c>
      <c r="G171" s="658">
        <f>G172</f>
        <v>0</v>
      </c>
      <c r="H171" s="135"/>
      <c r="I171" s="282"/>
      <c r="J171" s="137"/>
      <c r="K171" s="137"/>
      <c r="L171" s="139"/>
      <c r="M171" s="139"/>
      <c r="N171" s="137"/>
      <c r="O171" s="137"/>
      <c r="P171" s="139"/>
      <c r="Q171" s="139"/>
      <c r="R171" s="137"/>
      <c r="S171" s="137"/>
      <c r="T171" s="137"/>
      <c r="U171" s="528"/>
      <c r="V171" s="528"/>
      <c r="W171" s="33"/>
      <c r="X171" s="95"/>
      <c r="Y171" s="677">
        <f t="shared" si="12"/>
        <v>0</v>
      </c>
    </row>
    <row r="172" spans="1:25" ht="20.25" customHeight="1">
      <c r="A172" s="278"/>
      <c r="B172" s="279"/>
      <c r="C172" s="759"/>
      <c r="D172" s="758" t="s">
        <v>303</v>
      </c>
      <c r="E172" s="49"/>
      <c r="F172" s="49"/>
      <c r="G172" s="647">
        <f>E172-F172</f>
        <v>0</v>
      </c>
      <c r="H172" s="560"/>
      <c r="I172" s="151"/>
      <c r="J172" s="536"/>
      <c r="K172" s="536"/>
      <c r="L172" s="532"/>
      <c r="M172" s="532"/>
      <c r="N172" s="536"/>
      <c r="O172" s="536"/>
      <c r="P172" s="532"/>
      <c r="Q172" s="532"/>
      <c r="R172" s="536"/>
      <c r="S172" s="536"/>
      <c r="T172" s="536"/>
      <c r="U172" s="361"/>
      <c r="V172" s="361"/>
      <c r="W172" s="14"/>
      <c r="X172" s="91"/>
      <c r="Y172" s="677">
        <f t="shared" si="12"/>
        <v>0</v>
      </c>
    </row>
    <row r="173" spans="1:25" ht="20.25" customHeight="1" thickBot="1">
      <c r="A173" s="280"/>
      <c r="B173" s="281"/>
      <c r="C173" s="281"/>
      <c r="D173" s="818"/>
      <c r="E173" s="114"/>
      <c r="F173" s="114"/>
      <c r="G173" s="127"/>
      <c r="H173" s="233"/>
      <c r="I173" s="275"/>
      <c r="J173" s="550"/>
      <c r="K173" s="550"/>
      <c r="L173" s="362"/>
      <c r="M173" s="362"/>
      <c r="N173" s="550"/>
      <c r="O173" s="550"/>
      <c r="P173" s="362"/>
      <c r="Q173" s="362"/>
      <c r="R173" s="550"/>
      <c r="S173" s="550"/>
      <c r="T173" s="550"/>
      <c r="U173" s="537"/>
      <c r="V173" s="537"/>
      <c r="W173" s="86"/>
      <c r="X173" s="117"/>
      <c r="Y173" s="677">
        <f t="shared" si="12"/>
        <v>0</v>
      </c>
    </row>
    <row r="174" spans="1:25" ht="20.25" customHeight="1">
      <c r="A174" s="753" t="s">
        <v>209</v>
      </c>
      <c r="B174" s="260"/>
      <c r="C174" s="277"/>
      <c r="D174" s="327"/>
      <c r="E174" s="247">
        <f>SUM(E175)</f>
        <v>0</v>
      </c>
      <c r="F174" s="247">
        <v>0</v>
      </c>
      <c r="G174" s="659">
        <f>G175</f>
        <v>0</v>
      </c>
      <c r="H174" s="23"/>
      <c r="I174" s="20"/>
      <c r="J174" s="542"/>
      <c r="K174" s="21"/>
      <c r="L174" s="21"/>
      <c r="M174" s="542"/>
      <c r="N174" s="542"/>
      <c r="O174" s="542"/>
      <c r="P174" s="538"/>
      <c r="Q174" s="538"/>
      <c r="R174" s="542"/>
      <c r="S174" s="542"/>
      <c r="T174" s="542"/>
      <c r="U174" s="542"/>
      <c r="V174" s="23"/>
      <c r="W174" s="542"/>
      <c r="X174" s="93"/>
      <c r="Y174" s="677">
        <f t="shared" si="12"/>
        <v>0</v>
      </c>
    </row>
    <row r="175" spans="1:25" ht="20.25" customHeight="1">
      <c r="A175" s="753"/>
      <c r="B175" s="814" t="s">
        <v>210</v>
      </c>
      <c r="C175" s="265"/>
      <c r="D175" s="328"/>
      <c r="E175" s="112">
        <f>SUM(E176,E179)</f>
        <v>0</v>
      </c>
      <c r="F175" s="112">
        <v>0</v>
      </c>
      <c r="G175" s="658">
        <f>G176+G179</f>
        <v>0</v>
      </c>
      <c r="H175" s="33"/>
      <c r="I175" s="30"/>
      <c r="J175" s="528"/>
      <c r="K175" s="31"/>
      <c r="L175" s="31"/>
      <c r="M175" s="528"/>
      <c r="N175" s="528"/>
      <c r="O175" s="528"/>
      <c r="P175" s="83"/>
      <c r="Q175" s="83"/>
      <c r="R175" s="528"/>
      <c r="S175" s="528"/>
      <c r="T175" s="528"/>
      <c r="U175" s="528"/>
      <c r="V175" s="33"/>
      <c r="W175" s="528"/>
      <c r="X175" s="95"/>
      <c r="Y175" s="677">
        <f t="shared" si="12"/>
        <v>0</v>
      </c>
    </row>
    <row r="176" spans="1:25" ht="20.25" customHeight="1">
      <c r="A176" s="87"/>
      <c r="B176" s="806"/>
      <c r="C176" s="815" t="s">
        <v>323</v>
      </c>
      <c r="D176" s="312"/>
      <c r="E176" s="49">
        <f>SUM(E177)</f>
        <v>0</v>
      </c>
      <c r="F176" s="49">
        <v>0</v>
      </c>
      <c r="G176" s="663">
        <f>G177</f>
        <v>0</v>
      </c>
      <c r="H176" s="14"/>
      <c r="I176" s="42"/>
      <c r="J176" s="361"/>
      <c r="K176" s="67"/>
      <c r="L176" s="67"/>
      <c r="M176" s="361"/>
      <c r="N176" s="361"/>
      <c r="O176" s="361"/>
      <c r="P176" s="84"/>
      <c r="Q176" s="84"/>
      <c r="R176" s="361"/>
      <c r="S176" s="361"/>
      <c r="T176" s="361"/>
      <c r="U176" s="361"/>
      <c r="V176" s="14"/>
      <c r="W176" s="361"/>
      <c r="X176" s="91"/>
      <c r="Y176" s="677">
        <f t="shared" si="12"/>
        <v>0</v>
      </c>
    </row>
    <row r="177" spans="1:25" ht="20.25" customHeight="1">
      <c r="A177" s="24"/>
      <c r="B177" s="546"/>
      <c r="C177" s="816"/>
      <c r="D177" s="807" t="s">
        <v>321</v>
      </c>
      <c r="E177" s="47"/>
      <c r="F177" s="47"/>
      <c r="G177" s="647">
        <f>E177-F177</f>
        <v>0</v>
      </c>
      <c r="H177" s="48" t="s">
        <v>89</v>
      </c>
      <c r="I177" s="69"/>
      <c r="J177" s="574"/>
      <c r="K177" s="102"/>
      <c r="L177" s="102"/>
      <c r="M177" s="574"/>
      <c r="N177" s="574"/>
      <c r="O177" s="574"/>
      <c r="P177" s="110"/>
      <c r="Q177" s="110"/>
      <c r="R177" s="574"/>
      <c r="S177" s="574"/>
      <c r="T177" s="574"/>
      <c r="U177" s="574"/>
      <c r="V177" s="48"/>
      <c r="W177" s="574"/>
      <c r="X177" s="59"/>
      <c r="Y177" s="677">
        <f t="shared" si="12"/>
        <v>0</v>
      </c>
    </row>
    <row r="178" spans="1:25" ht="20.25" customHeight="1">
      <c r="A178" s="24"/>
      <c r="B178" s="546"/>
      <c r="C178" s="266"/>
      <c r="D178" s="805"/>
      <c r="E178" s="49"/>
      <c r="F178" s="49"/>
      <c r="G178" s="238"/>
      <c r="H178" s="14"/>
      <c r="I178" s="42"/>
      <c r="J178" s="361"/>
      <c r="K178" s="67"/>
      <c r="L178" s="67"/>
      <c r="M178" s="361"/>
      <c r="N178" s="361"/>
      <c r="O178" s="361"/>
      <c r="P178" s="84"/>
      <c r="Q178" s="84"/>
      <c r="R178" s="361"/>
      <c r="S178" s="361"/>
      <c r="T178" s="361"/>
      <c r="U178" s="361"/>
      <c r="V178" s="14"/>
      <c r="W178" s="361"/>
      <c r="X178" s="91"/>
      <c r="Y178" s="677">
        <f t="shared" si="12"/>
        <v>0</v>
      </c>
    </row>
    <row r="179" spans="1:25" ht="20.25" customHeight="1">
      <c r="A179" s="24"/>
      <c r="B179" s="546"/>
      <c r="C179" s="815" t="s">
        <v>324</v>
      </c>
      <c r="D179" s="312"/>
      <c r="E179" s="112">
        <f>SUM(E180)</f>
        <v>0</v>
      </c>
      <c r="F179" s="112">
        <v>0</v>
      </c>
      <c r="G179" s="663">
        <f>G180</f>
        <v>0</v>
      </c>
      <c r="H179" s="48"/>
      <c r="I179" s="69"/>
      <c r="J179" s="574"/>
      <c r="K179" s="102"/>
      <c r="L179" s="102"/>
      <c r="M179" s="574"/>
      <c r="N179" s="574"/>
      <c r="O179" s="574"/>
      <c r="P179" s="110"/>
      <c r="Q179" s="110"/>
      <c r="R179" s="574"/>
      <c r="S179" s="574"/>
      <c r="T179" s="574"/>
      <c r="U179" s="574"/>
      <c r="V179" s="48"/>
      <c r="W179" s="574"/>
      <c r="X179" s="59"/>
      <c r="Y179" s="677">
        <f t="shared" si="12"/>
        <v>0</v>
      </c>
    </row>
    <row r="180" spans="1:25" ht="21" customHeight="1">
      <c r="A180" s="24"/>
      <c r="B180" s="546"/>
      <c r="C180" s="816"/>
      <c r="D180" s="807" t="s">
        <v>322</v>
      </c>
      <c r="E180" s="47"/>
      <c r="F180" s="47"/>
      <c r="G180" s="647">
        <f>E180-F180</f>
        <v>0</v>
      </c>
      <c r="H180" s="48" t="s">
        <v>90</v>
      </c>
      <c r="I180" s="69"/>
      <c r="J180" s="574"/>
      <c r="K180" s="102"/>
      <c r="L180" s="102"/>
      <c r="M180" s="574"/>
      <c r="N180" s="574"/>
      <c r="O180" s="574"/>
      <c r="P180" s="110"/>
      <c r="Q180" s="110"/>
      <c r="R180" s="574"/>
      <c r="S180" s="574"/>
      <c r="T180" s="574"/>
      <c r="U180" s="574"/>
      <c r="V180" s="48"/>
      <c r="W180" s="574"/>
      <c r="X180" s="59"/>
      <c r="Y180" s="677">
        <f t="shared" si="12"/>
        <v>0</v>
      </c>
    </row>
    <row r="181" spans="1:25" ht="21" customHeight="1" thickBot="1">
      <c r="A181" s="72"/>
      <c r="B181" s="186"/>
      <c r="C181" s="267"/>
      <c r="D181" s="817"/>
      <c r="E181" s="114"/>
      <c r="F181" s="114"/>
      <c r="G181" s="250"/>
      <c r="H181" s="86"/>
      <c r="I181" s="115"/>
      <c r="J181" s="537"/>
      <c r="K181" s="116"/>
      <c r="L181" s="116"/>
      <c r="M181" s="537"/>
      <c r="N181" s="537"/>
      <c r="O181" s="537"/>
      <c r="P181" s="531"/>
      <c r="Q181" s="531"/>
      <c r="R181" s="537"/>
      <c r="S181" s="537"/>
      <c r="T181" s="537"/>
      <c r="U181" s="537"/>
      <c r="V181" s="86"/>
      <c r="W181" s="537"/>
      <c r="X181" s="117"/>
      <c r="Y181" s="677">
        <f t="shared" si="12"/>
        <v>0</v>
      </c>
    </row>
    <row r="182" spans="1:25" ht="21" customHeight="1">
      <c r="A182" s="73" t="s">
        <v>183</v>
      </c>
      <c r="B182" s="257"/>
      <c r="C182" s="268"/>
      <c r="D182" s="329"/>
      <c r="E182" s="248">
        <f>SUM(E183)</f>
        <v>387.82</v>
      </c>
      <c r="F182" s="248">
        <v>333.82</v>
      </c>
      <c r="G182" s="662">
        <f>G183</f>
        <v>54</v>
      </c>
      <c r="H182" s="82"/>
      <c r="I182" s="78"/>
      <c r="J182" s="79"/>
      <c r="K182" s="80"/>
      <c r="L182" s="80"/>
      <c r="M182" s="79"/>
      <c r="N182" s="79"/>
      <c r="O182" s="79"/>
      <c r="P182" s="81"/>
      <c r="Q182" s="81"/>
      <c r="R182" s="79"/>
      <c r="S182" s="79"/>
      <c r="T182" s="79"/>
      <c r="U182" s="79"/>
      <c r="V182" s="82"/>
      <c r="W182" s="79"/>
      <c r="X182" s="94"/>
      <c r="Y182" s="677">
        <f t="shared" si="12"/>
        <v>54</v>
      </c>
    </row>
    <row r="183" spans="1:25" ht="21" customHeight="1">
      <c r="A183" s="87"/>
      <c r="B183" s="540" t="s">
        <v>21</v>
      </c>
      <c r="C183" s="265"/>
      <c r="D183" s="328"/>
      <c r="E183" s="112">
        <f>SUM(E184)</f>
        <v>387.82</v>
      </c>
      <c r="F183" s="112">
        <v>333.82</v>
      </c>
      <c r="G183" s="658">
        <f>G184</f>
        <v>54</v>
      </c>
      <c r="H183" s="33"/>
      <c r="I183" s="30"/>
      <c r="J183" s="528"/>
      <c r="K183" s="31"/>
      <c r="L183" s="31"/>
      <c r="M183" s="528"/>
      <c r="N183" s="528"/>
      <c r="O183" s="528"/>
      <c r="P183" s="83"/>
      <c r="Q183" s="83"/>
      <c r="R183" s="528"/>
      <c r="S183" s="528"/>
      <c r="T183" s="528"/>
      <c r="U183" s="528"/>
      <c r="V183" s="33"/>
      <c r="W183" s="528"/>
      <c r="X183" s="95"/>
      <c r="Y183" s="677">
        <f t="shared" si="12"/>
        <v>54</v>
      </c>
    </row>
    <row r="184" spans="1:25" ht="21" customHeight="1">
      <c r="A184" s="87"/>
      <c r="B184" s="546"/>
      <c r="C184" s="269" t="s">
        <v>22</v>
      </c>
      <c r="D184" s="312"/>
      <c r="E184" s="49">
        <f>SUM(E185)</f>
        <v>387.82</v>
      </c>
      <c r="F184" s="49">
        <v>333.82</v>
      </c>
      <c r="G184" s="663">
        <f>G185</f>
        <v>54</v>
      </c>
      <c r="H184" s="14"/>
      <c r="I184" s="42"/>
      <c r="J184" s="361"/>
      <c r="K184" s="67"/>
      <c r="L184" s="67"/>
      <c r="M184" s="361"/>
      <c r="N184" s="361"/>
      <c r="O184" s="361"/>
      <c r="P184" s="84"/>
      <c r="Q184" s="83"/>
      <c r="R184" s="361"/>
      <c r="S184" s="361"/>
      <c r="T184" s="361"/>
      <c r="U184" s="361"/>
      <c r="V184" s="14"/>
      <c r="W184" s="361"/>
      <c r="X184" s="91"/>
      <c r="Y184" s="677">
        <f t="shared" si="12"/>
        <v>54</v>
      </c>
    </row>
    <row r="185" spans="1:25" ht="21" customHeight="1">
      <c r="A185" s="87"/>
      <c r="B185" s="546"/>
      <c r="C185" s="270"/>
      <c r="D185" s="316" t="s">
        <v>184</v>
      </c>
      <c r="E185" s="47">
        <f>X185/1000</f>
        <v>387.82</v>
      </c>
      <c r="F185" s="47">
        <v>333.82</v>
      </c>
      <c r="G185" s="647">
        <f>E185-F185</f>
        <v>54</v>
      </c>
      <c r="H185" s="784" t="s">
        <v>190</v>
      </c>
      <c r="I185" s="785"/>
      <c r="J185" s="785"/>
      <c r="K185" s="785"/>
      <c r="L185" s="785"/>
      <c r="M185" s="785"/>
      <c r="N185" s="785"/>
      <c r="O185" s="785"/>
      <c r="P185" s="574"/>
      <c r="Q185" s="153"/>
      <c r="R185" s="480"/>
      <c r="S185" s="480"/>
      <c r="T185" s="480"/>
      <c r="U185" s="480"/>
      <c r="V185" s="480"/>
      <c r="W185" s="574"/>
      <c r="X185" s="504">
        <v>387820</v>
      </c>
      <c r="Y185" s="677">
        <f t="shared" si="12"/>
        <v>54</v>
      </c>
    </row>
    <row r="186" spans="1:25" ht="21" customHeight="1" thickBot="1">
      <c r="A186" s="185"/>
      <c r="B186" s="186"/>
      <c r="C186" s="267"/>
      <c r="D186" s="321"/>
      <c r="E186" s="114"/>
      <c r="F186" s="114"/>
      <c r="G186" s="127"/>
      <c r="H186" s="86"/>
      <c r="I186" s="115"/>
      <c r="J186" s="537"/>
      <c r="K186" s="116"/>
      <c r="L186" s="116"/>
      <c r="M186" s="537"/>
      <c r="N186" s="537"/>
      <c r="O186" s="537"/>
      <c r="P186" s="531"/>
      <c r="Q186" s="531"/>
      <c r="R186" s="537"/>
      <c r="S186" s="537"/>
      <c r="T186" s="537"/>
      <c r="U186" s="537"/>
      <c r="V186" s="86"/>
      <c r="W186" s="537"/>
      <c r="X186" s="117"/>
      <c r="Y186" s="677">
        <f t="shared" si="12"/>
        <v>0</v>
      </c>
    </row>
    <row r="187" spans="1:25" ht="21.75" customHeight="1">
      <c r="A187" s="73" t="s">
        <v>186</v>
      </c>
      <c r="B187" s="257"/>
      <c r="C187" s="268"/>
      <c r="D187" s="329"/>
      <c r="E187" s="243">
        <f>SUM(E188)</f>
        <v>1000</v>
      </c>
      <c r="F187" s="243">
        <v>1000</v>
      </c>
      <c r="G187" s="662">
        <f>G188</f>
        <v>0</v>
      </c>
      <c r="H187" s="82"/>
      <c r="I187" s="78"/>
      <c r="J187" s="79"/>
      <c r="K187" s="80"/>
      <c r="L187" s="80"/>
      <c r="M187" s="79"/>
      <c r="N187" s="79"/>
      <c r="O187" s="79"/>
      <c r="P187" s="81"/>
      <c r="Q187" s="81"/>
      <c r="R187" s="79"/>
      <c r="S187" s="79"/>
      <c r="T187" s="79"/>
      <c r="U187" s="79"/>
      <c r="V187" s="82"/>
      <c r="W187" s="79"/>
      <c r="X187" s="94"/>
      <c r="Y187" s="677">
        <f t="shared" si="12"/>
        <v>0</v>
      </c>
    </row>
    <row r="188" spans="1:25" ht="21.75" customHeight="1">
      <c r="A188" s="24"/>
      <c r="B188" s="540" t="s">
        <v>187</v>
      </c>
      <c r="C188" s="269"/>
      <c r="D188" s="320"/>
      <c r="E188" s="47">
        <f>SUM(E189:E189)</f>
        <v>1000</v>
      </c>
      <c r="F188" s="47">
        <v>1000</v>
      </c>
      <c r="G188" s="661">
        <f>G189</f>
        <v>0</v>
      </c>
      <c r="H188" s="48"/>
      <c r="I188" s="69"/>
      <c r="J188" s="574"/>
      <c r="K188" s="102"/>
      <c r="L188" s="102"/>
      <c r="M188" s="574"/>
      <c r="N188" s="574"/>
      <c r="O188" s="574"/>
      <c r="P188" s="110"/>
      <c r="Q188" s="110"/>
      <c r="R188" s="574"/>
      <c r="S188" s="574"/>
      <c r="T188" s="574"/>
      <c r="U188" s="574"/>
      <c r="V188" s="48"/>
      <c r="W188" s="574"/>
      <c r="X188" s="59"/>
      <c r="Y188" s="677">
        <f t="shared" si="12"/>
        <v>0</v>
      </c>
    </row>
    <row r="189" spans="1:25" ht="21" customHeight="1">
      <c r="A189" s="118"/>
      <c r="B189" s="258"/>
      <c r="C189" s="269" t="s">
        <v>188</v>
      </c>
      <c r="D189" s="328"/>
      <c r="E189" s="112">
        <f>E190</f>
        <v>1000</v>
      </c>
      <c r="F189" s="112">
        <v>1000</v>
      </c>
      <c r="G189" s="658">
        <f>G190</f>
        <v>0</v>
      </c>
      <c r="H189" s="254"/>
      <c r="I189" s="30"/>
      <c r="J189" s="528"/>
      <c r="K189" s="31"/>
      <c r="L189" s="31"/>
      <c r="M189" s="528"/>
      <c r="N189" s="528"/>
      <c r="O189" s="528"/>
      <c r="P189" s="83"/>
      <c r="Q189" s="83"/>
      <c r="R189" s="528"/>
      <c r="S189" s="528"/>
      <c r="T189" s="528"/>
      <c r="U189" s="528"/>
      <c r="V189" s="33"/>
      <c r="W189" s="528"/>
      <c r="X189" s="95"/>
      <c r="Y189" s="677">
        <f t="shared" si="12"/>
        <v>0</v>
      </c>
    </row>
    <row r="190" spans="1:25" ht="19.5" customHeight="1">
      <c r="A190" s="118"/>
      <c r="B190" s="258"/>
      <c r="C190" s="270"/>
      <c r="D190" s="320" t="s">
        <v>189</v>
      </c>
      <c r="E190" s="47">
        <f>X190/1000</f>
        <v>1000</v>
      </c>
      <c r="F190" s="47">
        <v>1000</v>
      </c>
      <c r="G190" s="647">
        <f>E190-F190</f>
        <v>0</v>
      </c>
      <c r="H190" s="255" t="s">
        <v>202</v>
      </c>
      <c r="I190" s="69"/>
      <c r="J190" s="574"/>
      <c r="K190" s="102"/>
      <c r="L190" s="102"/>
      <c r="M190" s="574"/>
      <c r="N190" s="574"/>
      <c r="O190" s="574"/>
      <c r="P190" s="153"/>
      <c r="Q190" s="480"/>
      <c r="R190" s="480"/>
      <c r="S190" s="480"/>
      <c r="T190" s="480"/>
      <c r="U190" s="480"/>
      <c r="V190" s="48"/>
      <c r="W190" s="574"/>
      <c r="X190" s="504">
        <v>1000000</v>
      </c>
      <c r="Y190" s="677">
        <f t="shared" si="12"/>
        <v>0</v>
      </c>
    </row>
    <row r="191" spans="1:25" ht="19.5" customHeight="1" thickBot="1">
      <c r="A191" s="126"/>
      <c r="B191" s="259"/>
      <c r="C191" s="267"/>
      <c r="D191" s="330"/>
      <c r="E191" s="114"/>
      <c r="F191" s="114"/>
      <c r="G191" s="127"/>
      <c r="H191" s="256"/>
      <c r="I191" s="115"/>
      <c r="J191" s="537"/>
      <c r="K191" s="116"/>
      <c r="L191" s="116"/>
      <c r="M191" s="537"/>
      <c r="N191" s="537"/>
      <c r="O191" s="537"/>
      <c r="P191" s="531"/>
      <c r="Q191" s="531"/>
      <c r="R191" s="537"/>
      <c r="S191" s="537"/>
      <c r="T191" s="537"/>
      <c r="U191" s="537"/>
      <c r="V191" s="86"/>
      <c r="W191" s="537"/>
      <c r="X191" s="117"/>
      <c r="Y191" s="677">
        <f t="shared" si="12"/>
        <v>0</v>
      </c>
    </row>
    <row r="192" spans="1:25" ht="48" customHeight="1">
      <c r="A192" s="811"/>
      <c r="B192" s="502"/>
      <c r="C192" s="193"/>
      <c r="D192" s="193"/>
      <c r="E192" s="264"/>
      <c r="F192" s="264"/>
      <c r="G192" s="264"/>
      <c r="H192" s="302"/>
      <c r="I192" s="130"/>
      <c r="J192" s="131"/>
      <c r="K192" s="303"/>
      <c r="L192" s="303"/>
      <c r="M192" s="131"/>
      <c r="N192" s="131"/>
      <c r="O192" s="131"/>
      <c r="P192" s="304"/>
      <c r="Q192" s="304"/>
      <c r="R192" s="131"/>
      <c r="S192" s="131"/>
      <c r="T192" s="131"/>
      <c r="U192" s="131"/>
      <c r="V192" s="132"/>
      <c r="W192" s="131"/>
      <c r="X192" s="195"/>
      <c r="Y192" s="44"/>
    </row>
    <row r="193" spans="1:25" ht="48" customHeight="1">
      <c r="A193" s="812"/>
      <c r="B193" s="481"/>
      <c r="C193" s="481"/>
      <c r="D193" s="481"/>
      <c r="E193" s="482"/>
      <c r="F193" s="482"/>
      <c r="G193" s="48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24"/>
      <c r="Y193" s="1"/>
    </row>
    <row r="194" spans="1:25" ht="48" customHeight="1">
      <c r="A194" s="812"/>
      <c r="B194" s="481"/>
      <c r="C194" s="481"/>
      <c r="D194" s="481"/>
      <c r="E194" s="482"/>
      <c r="F194" s="482"/>
      <c r="G194" s="48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24"/>
      <c r="Y194" s="1"/>
    </row>
    <row r="195" spans="1:25" ht="14.25" thickBot="1">
      <c r="A195" s="813"/>
      <c r="B195" s="491"/>
      <c r="C195" s="491"/>
      <c r="D195" s="491"/>
      <c r="E195" s="492"/>
      <c r="F195" s="492"/>
      <c r="G195" s="492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125"/>
      <c r="Y195" s="1"/>
    </row>
    <row r="196" spans="1:25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</sheetData>
  <mergeCells count="270">
    <mergeCell ref="A1:X1"/>
    <mergeCell ref="A2:C2"/>
    <mergeCell ref="H3:X3"/>
    <mergeCell ref="A4:D4"/>
    <mergeCell ref="H8:Q8"/>
    <mergeCell ref="T8:X8"/>
    <mergeCell ref="M13:N13"/>
    <mergeCell ref="R13:S13"/>
    <mergeCell ref="M14:N14"/>
    <mergeCell ref="R14:S14"/>
    <mergeCell ref="M15:N15"/>
    <mergeCell ref="R15:S15"/>
    <mergeCell ref="M9:N9"/>
    <mergeCell ref="R9:S9"/>
    <mergeCell ref="M10:N10"/>
    <mergeCell ref="R10:S10"/>
    <mergeCell ref="M11:N11"/>
    <mergeCell ref="R11:S11"/>
    <mergeCell ref="H20:I20"/>
    <mergeCell ref="K20:P20"/>
    <mergeCell ref="J21:N21"/>
    <mergeCell ref="P21:Q21"/>
    <mergeCell ref="H23:T23"/>
    <mergeCell ref="D26:D27"/>
    <mergeCell ref="H26:I26"/>
    <mergeCell ref="S26:X26"/>
    <mergeCell ref="M16:N16"/>
    <mergeCell ref="R16:S16"/>
    <mergeCell ref="M17:N17"/>
    <mergeCell ref="R17:S17"/>
    <mergeCell ref="M18:N18"/>
    <mergeCell ref="R18:S18"/>
    <mergeCell ref="K39:L39"/>
    <mergeCell ref="P39:Q39"/>
    <mergeCell ref="R39:S39"/>
    <mergeCell ref="D40:D41"/>
    <mergeCell ref="H40:I40"/>
    <mergeCell ref="S40:X40"/>
    <mergeCell ref="K41:L41"/>
    <mergeCell ref="H36:N36"/>
    <mergeCell ref="K37:L37"/>
    <mergeCell ref="P37:Q37"/>
    <mergeCell ref="R37:S37"/>
    <mergeCell ref="K38:L38"/>
    <mergeCell ref="P38:Q38"/>
    <mergeCell ref="R38:S38"/>
    <mergeCell ref="C46:C47"/>
    <mergeCell ref="D47:D48"/>
    <mergeCell ref="H47:I47"/>
    <mergeCell ref="T47:X47"/>
    <mergeCell ref="H48:I48"/>
    <mergeCell ref="M48:N48"/>
    <mergeCell ref="AD41:AE41"/>
    <mergeCell ref="K42:L42"/>
    <mergeCell ref="AD42:AE42"/>
    <mergeCell ref="D43:D45"/>
    <mergeCell ref="H43:I43"/>
    <mergeCell ref="K43:P43"/>
    <mergeCell ref="J44:N44"/>
    <mergeCell ref="P44:Q44"/>
    <mergeCell ref="J45:N45"/>
    <mergeCell ref="P45:Q45"/>
    <mergeCell ref="D52:D53"/>
    <mergeCell ref="H52:I52"/>
    <mergeCell ref="T52:X52"/>
    <mergeCell ref="H53:I53"/>
    <mergeCell ref="K53:L53"/>
    <mergeCell ref="M53:N53"/>
    <mergeCell ref="S53:T53"/>
    <mergeCell ref="C49:C50"/>
    <mergeCell ref="D50:D51"/>
    <mergeCell ref="H50:I50"/>
    <mergeCell ref="T50:X50"/>
    <mergeCell ref="H51:I51"/>
    <mergeCell ref="K51:M51"/>
    <mergeCell ref="C56:C57"/>
    <mergeCell ref="H56:I56"/>
    <mergeCell ref="T56:X56"/>
    <mergeCell ref="H57:I57"/>
    <mergeCell ref="K57:L57"/>
    <mergeCell ref="M57:N57"/>
    <mergeCell ref="P57:Q57"/>
    <mergeCell ref="S57:T57"/>
    <mergeCell ref="H54:I54"/>
    <mergeCell ref="T54:X54"/>
    <mergeCell ref="H55:I55"/>
    <mergeCell ref="K55:L55"/>
    <mergeCell ref="M55:N55"/>
    <mergeCell ref="S55:T55"/>
    <mergeCell ref="B63:B64"/>
    <mergeCell ref="C64:C65"/>
    <mergeCell ref="D65:D66"/>
    <mergeCell ref="H65:X65"/>
    <mergeCell ref="K66:L66"/>
    <mergeCell ref="H58:I58"/>
    <mergeCell ref="T58:X58"/>
    <mergeCell ref="H59:I59"/>
    <mergeCell ref="K59:L59"/>
    <mergeCell ref="M59:N59"/>
    <mergeCell ref="P59:Q59"/>
    <mergeCell ref="S59:T59"/>
    <mergeCell ref="M66:O66"/>
    <mergeCell ref="H68:O68"/>
    <mergeCell ref="K69:L69"/>
    <mergeCell ref="M69:O69"/>
    <mergeCell ref="H72:O72"/>
    <mergeCell ref="K73:L73"/>
    <mergeCell ref="M73:O73"/>
    <mergeCell ref="C60:C61"/>
    <mergeCell ref="D61:D62"/>
    <mergeCell ref="H61:V61"/>
    <mergeCell ref="K62:L62"/>
    <mergeCell ref="M62:O62"/>
    <mergeCell ref="K80:L80"/>
    <mergeCell ref="M80:O80"/>
    <mergeCell ref="C81:C82"/>
    <mergeCell ref="D82:D83"/>
    <mergeCell ref="H82:X82"/>
    <mergeCell ref="K83:L83"/>
    <mergeCell ref="M83:O83"/>
    <mergeCell ref="C74:C75"/>
    <mergeCell ref="D75:D76"/>
    <mergeCell ref="H75:X75"/>
    <mergeCell ref="K76:L76"/>
    <mergeCell ref="M76:O76"/>
    <mergeCell ref="K79:L79"/>
    <mergeCell ref="M79:O79"/>
    <mergeCell ref="K87:L87"/>
    <mergeCell ref="M87:O87"/>
    <mergeCell ref="D89:D90"/>
    <mergeCell ref="K90:L90"/>
    <mergeCell ref="M90:O90"/>
    <mergeCell ref="C91:C92"/>
    <mergeCell ref="D92:D93"/>
    <mergeCell ref="H92:I92"/>
    <mergeCell ref="K84:L84"/>
    <mergeCell ref="M84:N84"/>
    <mergeCell ref="K85:L85"/>
    <mergeCell ref="M85:O85"/>
    <mergeCell ref="K86:L86"/>
    <mergeCell ref="M86:O86"/>
    <mergeCell ref="C102:C103"/>
    <mergeCell ref="D103:D104"/>
    <mergeCell ref="K104:L104"/>
    <mergeCell ref="M104:O104"/>
    <mergeCell ref="A94:A95"/>
    <mergeCell ref="H97:I97"/>
    <mergeCell ref="H98:I98"/>
    <mergeCell ref="C99:C100"/>
    <mergeCell ref="D100:D101"/>
    <mergeCell ref="H100:I100"/>
    <mergeCell ref="K105:L105"/>
    <mergeCell ref="M105:O105"/>
    <mergeCell ref="Q105:R105"/>
    <mergeCell ref="K106:L106"/>
    <mergeCell ref="M106:O106"/>
    <mergeCell ref="K107:L107"/>
    <mergeCell ref="M107:O107"/>
    <mergeCell ref="K101:L101"/>
    <mergeCell ref="M101:O101"/>
    <mergeCell ref="R117:S117"/>
    <mergeCell ref="K118:L118"/>
    <mergeCell ref="R118:S118"/>
    <mergeCell ref="K114:L114"/>
    <mergeCell ref="P114:Q114"/>
    <mergeCell ref="R114:S114"/>
    <mergeCell ref="H111:N111"/>
    <mergeCell ref="K112:L112"/>
    <mergeCell ref="Q112:R112"/>
    <mergeCell ref="K113:L113"/>
    <mergeCell ref="Q113:R113"/>
    <mergeCell ref="C121:C122"/>
    <mergeCell ref="D122:D123"/>
    <mergeCell ref="H122:Q122"/>
    <mergeCell ref="K123:L123"/>
    <mergeCell ref="M123:O123"/>
    <mergeCell ref="K115:L115"/>
    <mergeCell ref="D116:D117"/>
    <mergeCell ref="H116:M116"/>
    <mergeCell ref="K117:L117"/>
    <mergeCell ref="H125:I125"/>
    <mergeCell ref="K126:L126"/>
    <mergeCell ref="Q126:R126"/>
    <mergeCell ref="K127:L127"/>
    <mergeCell ref="Q127:R127"/>
    <mergeCell ref="H129:N129"/>
    <mergeCell ref="D119:D120"/>
    <mergeCell ref="H119:I119"/>
    <mergeCell ref="K120:L120"/>
    <mergeCell ref="M120:N120"/>
    <mergeCell ref="C137:C138"/>
    <mergeCell ref="D138:D139"/>
    <mergeCell ref="H138:I138"/>
    <mergeCell ref="C140:C141"/>
    <mergeCell ref="D141:D142"/>
    <mergeCell ref="H141:S141"/>
    <mergeCell ref="K142:L142"/>
    <mergeCell ref="Q142:R142"/>
    <mergeCell ref="K130:L130"/>
    <mergeCell ref="M130:O130"/>
    <mergeCell ref="H132:N132"/>
    <mergeCell ref="K133:L133"/>
    <mergeCell ref="M133:N133"/>
    <mergeCell ref="C134:C135"/>
    <mergeCell ref="D135:D136"/>
    <mergeCell ref="H135:I135"/>
    <mergeCell ref="J147:K147"/>
    <mergeCell ref="N147:O147"/>
    <mergeCell ref="C149:C150"/>
    <mergeCell ref="H150:V150"/>
    <mergeCell ref="K151:L151"/>
    <mergeCell ref="Q151:R151"/>
    <mergeCell ref="D150:D151"/>
    <mergeCell ref="D144:D145"/>
    <mergeCell ref="H144:M144"/>
    <mergeCell ref="J145:K145"/>
    <mergeCell ref="N145:O145"/>
    <mergeCell ref="J146:K146"/>
    <mergeCell ref="N146:O146"/>
    <mergeCell ref="J156:K156"/>
    <mergeCell ref="O156:P156"/>
    <mergeCell ref="Q156:R156"/>
    <mergeCell ref="J157:K157"/>
    <mergeCell ref="O157:P157"/>
    <mergeCell ref="Q157:R157"/>
    <mergeCell ref="K152:M152"/>
    <mergeCell ref="N152:O152"/>
    <mergeCell ref="C153:C154"/>
    <mergeCell ref="D154:D155"/>
    <mergeCell ref="H154:V154"/>
    <mergeCell ref="J155:K155"/>
    <mergeCell ref="O155:P155"/>
    <mergeCell ref="Q155:R155"/>
    <mergeCell ref="N166:O166"/>
    <mergeCell ref="L167:M167"/>
    <mergeCell ref="N167:O167"/>
    <mergeCell ref="C158:C159"/>
    <mergeCell ref="D159:D160"/>
    <mergeCell ref="H159:O159"/>
    <mergeCell ref="J160:K160"/>
    <mergeCell ref="P160:Q160"/>
    <mergeCell ref="C161:C162"/>
    <mergeCell ref="D162:D163"/>
    <mergeCell ref="H162:N162"/>
    <mergeCell ref="J163:K163"/>
    <mergeCell ref="P163:Q163"/>
    <mergeCell ref="H185:O185"/>
    <mergeCell ref="A192:A195"/>
    <mergeCell ref="M12:N12"/>
    <mergeCell ref="R12:S12"/>
    <mergeCell ref="D23:D24"/>
    <mergeCell ref="D36:D37"/>
    <mergeCell ref="D54:D55"/>
    <mergeCell ref="D56:D57"/>
    <mergeCell ref="D58:D59"/>
    <mergeCell ref="A174:A175"/>
    <mergeCell ref="B175:B176"/>
    <mergeCell ref="C176:C177"/>
    <mergeCell ref="D177:D178"/>
    <mergeCell ref="C179:C180"/>
    <mergeCell ref="D180:D181"/>
    <mergeCell ref="L168:M168"/>
    <mergeCell ref="N168:O168"/>
    <mergeCell ref="A169:A170"/>
    <mergeCell ref="B170:B171"/>
    <mergeCell ref="C171:C172"/>
    <mergeCell ref="D172:D173"/>
    <mergeCell ref="C164:C165"/>
    <mergeCell ref="D165:D166"/>
    <mergeCell ref="L166:M166"/>
  </mergeCells>
  <printOptions/>
  <pageMargins left="0.6692913385826772" right="0.35433070866141736" top="0.4330708661417323" bottom="0.3937007874015748" header="0.4724409448818898" footer="0.2755905511811024"/>
  <pageSetup horizontalDpi="600" verticalDpi="600" orientation="landscape" paperSize="9" scale="85" r:id="rId1"/>
  <headerFooter alignWithMargins="0">
    <oddFooter>&amp;R엘림믿음의집 세출-&amp;P</oddFooter>
  </headerFooter>
  <rowBreaks count="6" manualBreakCount="6">
    <brk id="55" max="16383" man="1"/>
    <brk id="80" max="16383" man="1"/>
    <brk id="107" max="16383" man="1"/>
    <brk id="133" max="16383" man="1"/>
    <brk id="163" max="16383" man="1"/>
    <brk id="1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7"/>
  <sheetViews>
    <sheetView view="pageBreakPreview" zoomScale="70" zoomScaleSheetLayoutView="70" workbookViewId="0" topLeftCell="A1">
      <selection activeCell="H10" sqref="H10"/>
    </sheetView>
  </sheetViews>
  <sheetFormatPr defaultColWidth="8.88671875" defaultRowHeight="13.5"/>
  <cols>
    <col min="1" max="1" width="2.99609375" style="368" customWidth="1"/>
    <col min="2" max="2" width="7.99609375" style="368" customWidth="1"/>
    <col min="3" max="3" width="3.99609375" style="368" customWidth="1"/>
    <col min="4" max="4" width="5.5546875" style="368" customWidth="1"/>
    <col min="5" max="5" width="4.4453125" style="368" customWidth="1"/>
    <col min="6" max="6" width="10.88671875" style="368" customWidth="1"/>
    <col min="7" max="7" width="7.88671875" style="368" customWidth="1"/>
    <col min="8" max="8" width="12.5546875" style="368" customWidth="1"/>
    <col min="9" max="9" width="5.99609375" style="368" customWidth="1"/>
    <col min="10" max="10" width="13.99609375" style="368" customWidth="1"/>
    <col min="11" max="11" width="11.6640625" style="368" customWidth="1"/>
    <col min="12" max="12" width="7.5546875" style="368" customWidth="1"/>
    <col min="13" max="13" width="12.3359375" style="368" customWidth="1"/>
    <col min="14" max="14" width="11.99609375" style="368" customWidth="1"/>
    <col min="15" max="15" width="12.5546875" style="368" customWidth="1"/>
    <col min="16" max="16" width="13.77734375" style="368" customWidth="1"/>
    <col min="17" max="18" width="15.21484375" style="368" hidden="1" customWidth="1"/>
    <col min="19" max="19" width="11.3359375" style="368" hidden="1" customWidth="1"/>
    <col min="20" max="20" width="12.5546875" style="368" hidden="1" customWidth="1"/>
    <col min="21" max="21" width="12.99609375" style="368" customWidth="1"/>
    <col min="22" max="22" width="10.3359375" style="368" customWidth="1"/>
    <col min="23" max="23" width="12.4453125" style="368" customWidth="1"/>
    <col min="24" max="24" width="12.21484375" style="368" hidden="1" customWidth="1"/>
    <col min="25" max="25" width="12.10546875" style="368" hidden="1" customWidth="1"/>
    <col min="26" max="26" width="11.77734375" style="368" customWidth="1"/>
    <col min="27" max="27" width="12.21484375" style="368" hidden="1" customWidth="1"/>
    <col min="28" max="28" width="10.99609375" style="368" customWidth="1"/>
    <col min="29" max="29" width="12.5546875" style="368" customWidth="1"/>
    <col min="30" max="30" width="12.77734375" style="368" customWidth="1"/>
    <col min="31" max="31" width="13.21484375" style="368" customWidth="1"/>
    <col min="32" max="32" width="0.10546875" style="368" customWidth="1"/>
    <col min="33" max="16384" width="8.88671875" style="368" customWidth="1"/>
  </cols>
  <sheetData>
    <row r="1" spans="1:32" ht="84.75" customHeight="1" thickBot="1">
      <c r="A1" s="902" t="s">
        <v>448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</row>
    <row r="2" spans="1:32" ht="30" customHeight="1">
      <c r="A2" s="903" t="s">
        <v>330</v>
      </c>
      <c r="B2" s="905" t="s">
        <v>331</v>
      </c>
      <c r="C2" s="907" t="s">
        <v>36</v>
      </c>
      <c r="D2" s="907" t="s">
        <v>332</v>
      </c>
      <c r="E2" s="905" t="s">
        <v>333</v>
      </c>
      <c r="F2" s="369"/>
      <c r="G2" s="369" t="s">
        <v>334</v>
      </c>
      <c r="H2" s="907" t="s">
        <v>35</v>
      </c>
      <c r="I2" s="905" t="s">
        <v>205</v>
      </c>
      <c r="J2" s="912" t="s">
        <v>335</v>
      </c>
      <c r="K2" s="893" t="s">
        <v>336</v>
      </c>
      <c r="L2" s="893"/>
      <c r="M2" s="893"/>
      <c r="N2" s="893"/>
      <c r="O2" s="893"/>
      <c r="P2" s="887" t="s">
        <v>337</v>
      </c>
      <c r="Q2" s="890" t="s">
        <v>338</v>
      </c>
      <c r="R2" s="471"/>
      <c r="S2" s="890" t="s">
        <v>339</v>
      </c>
      <c r="T2" s="890" t="s">
        <v>340</v>
      </c>
      <c r="U2" s="893" t="s">
        <v>341</v>
      </c>
      <c r="V2" s="893"/>
      <c r="W2" s="893"/>
      <c r="X2" s="893"/>
      <c r="Y2" s="893"/>
      <c r="Z2" s="893"/>
      <c r="AA2" s="893"/>
      <c r="AB2" s="893"/>
      <c r="AC2" s="893"/>
      <c r="AD2" s="894" t="s">
        <v>342</v>
      </c>
      <c r="AE2" s="897" t="s">
        <v>343</v>
      </c>
      <c r="AF2" s="898"/>
    </row>
    <row r="3" spans="1:32" ht="30" customHeight="1">
      <c r="A3" s="904"/>
      <c r="B3" s="906"/>
      <c r="C3" s="908"/>
      <c r="D3" s="908"/>
      <c r="E3" s="906"/>
      <c r="F3" s="370" t="s">
        <v>344</v>
      </c>
      <c r="G3" s="371">
        <v>0.03</v>
      </c>
      <c r="H3" s="910"/>
      <c r="I3" s="906"/>
      <c r="J3" s="913"/>
      <c r="K3" s="915"/>
      <c r="L3" s="915"/>
      <c r="M3" s="915"/>
      <c r="N3" s="915"/>
      <c r="O3" s="915"/>
      <c r="P3" s="888"/>
      <c r="Q3" s="891"/>
      <c r="R3" s="472" t="s">
        <v>345</v>
      </c>
      <c r="S3" s="891"/>
      <c r="T3" s="891"/>
      <c r="U3" s="372">
        <v>0.02995</v>
      </c>
      <c r="V3" s="373">
        <v>0.0655</v>
      </c>
      <c r="W3" s="374">
        <v>0.045</v>
      </c>
      <c r="X3" s="375"/>
      <c r="Y3" s="376">
        <v>0.0055</v>
      </c>
      <c r="Z3" s="373">
        <v>0.009</v>
      </c>
      <c r="AA3" s="376"/>
      <c r="AB3" s="373">
        <v>0.0078</v>
      </c>
      <c r="AC3" s="901" t="s">
        <v>346</v>
      </c>
      <c r="AD3" s="895"/>
      <c r="AE3" s="899"/>
      <c r="AF3" s="900"/>
    </row>
    <row r="4" spans="1:32" ht="30" customHeight="1">
      <c r="A4" s="904"/>
      <c r="B4" s="906"/>
      <c r="C4" s="909"/>
      <c r="D4" s="909"/>
      <c r="E4" s="906"/>
      <c r="F4" s="377" t="s">
        <v>35</v>
      </c>
      <c r="G4" s="377" t="s">
        <v>347</v>
      </c>
      <c r="H4" s="911"/>
      <c r="I4" s="906"/>
      <c r="J4" s="914"/>
      <c r="K4" s="470" t="s">
        <v>34</v>
      </c>
      <c r="L4" s="470" t="s">
        <v>307</v>
      </c>
      <c r="M4" s="470" t="s">
        <v>25</v>
      </c>
      <c r="N4" s="470" t="s">
        <v>28</v>
      </c>
      <c r="O4" s="378" t="s">
        <v>348</v>
      </c>
      <c r="P4" s="889"/>
      <c r="Q4" s="892"/>
      <c r="R4" s="473"/>
      <c r="S4" s="892"/>
      <c r="T4" s="892"/>
      <c r="U4" s="474" t="s">
        <v>349</v>
      </c>
      <c r="V4" s="474" t="s">
        <v>39</v>
      </c>
      <c r="W4" s="474" t="s">
        <v>350</v>
      </c>
      <c r="X4" s="379"/>
      <c r="Y4" s="379" t="s">
        <v>351</v>
      </c>
      <c r="Z4" s="474" t="s">
        <v>38</v>
      </c>
      <c r="AA4" s="379"/>
      <c r="AB4" s="474" t="s">
        <v>352</v>
      </c>
      <c r="AC4" s="901"/>
      <c r="AD4" s="896"/>
      <c r="AE4" s="899"/>
      <c r="AF4" s="900"/>
    </row>
    <row r="5" spans="1:32" ht="54.75" customHeight="1">
      <c r="A5" s="474">
        <v>1</v>
      </c>
      <c r="B5" s="380" t="s">
        <v>353</v>
      </c>
      <c r="C5" s="381" t="s">
        <v>354</v>
      </c>
      <c r="D5" s="382">
        <v>1</v>
      </c>
      <c r="E5" s="380">
        <v>6</v>
      </c>
      <c r="F5" s="383">
        <v>2642000</v>
      </c>
      <c r="G5" s="383">
        <f>F5*$G$3</f>
        <v>79260</v>
      </c>
      <c r="H5" s="384">
        <f>INT((F5+G5)/1000)*1000</f>
        <v>2721000</v>
      </c>
      <c r="I5" s="385">
        <v>12</v>
      </c>
      <c r="J5" s="386">
        <f aca="true" t="shared" si="0" ref="J5:J17">H5*I5</f>
        <v>32652000</v>
      </c>
      <c r="K5" s="387">
        <f>H5*1.2</f>
        <v>3265200</v>
      </c>
      <c r="L5" s="387"/>
      <c r="M5" s="387">
        <f aca="true" t="shared" si="1" ref="M5:M8">ROUNDDOWN((J5*20/209*1.5),-1)</f>
        <v>4686880</v>
      </c>
      <c r="N5" s="387">
        <f>40000*I5</f>
        <v>480000</v>
      </c>
      <c r="O5" s="388">
        <f>SUM((K5:N5),)</f>
        <v>8432080</v>
      </c>
      <c r="P5" s="389">
        <f>J5+O5</f>
        <v>41084080</v>
      </c>
      <c r="Q5" s="390">
        <f>(J5+O5)/12</f>
        <v>3423673.3333333335</v>
      </c>
      <c r="R5" s="390">
        <f>Q5*9</f>
        <v>30813060</v>
      </c>
      <c r="S5" s="390">
        <f>INT((Q5*0.045*I5)/10)*10</f>
        <v>1848780</v>
      </c>
      <c r="T5" s="390">
        <f>P5/12</f>
        <v>3423673.3333333335</v>
      </c>
      <c r="U5" s="387">
        <f aca="true" t="shared" si="2" ref="U5:U17">INT(T5*$U$3*(I5)/10)*10</f>
        <v>1230460</v>
      </c>
      <c r="V5" s="387">
        <f aca="true" t="shared" si="3" ref="V5:V17">INT(U5*$V$3/10)*10</f>
        <v>80590</v>
      </c>
      <c r="W5" s="387">
        <f>S5</f>
        <v>1848780</v>
      </c>
      <c r="X5" s="391">
        <f>T5</f>
        <v>3423673.3333333335</v>
      </c>
      <c r="Y5" s="392">
        <f aca="true" t="shared" si="4" ref="Y5:Y17">INT((X5*$Y$3)*(I5)/10)*10</f>
        <v>225960</v>
      </c>
      <c r="Z5" s="393">
        <f aca="true" t="shared" si="5" ref="Z5:Z17">INT((X5*$Z$3)*(I5)/10)*10</f>
        <v>369750</v>
      </c>
      <c r="AA5" s="390">
        <f>X5</f>
        <v>3423673.3333333335</v>
      </c>
      <c r="AB5" s="387">
        <f aca="true" t="shared" si="6" ref="AB5:AB17">ROUNDDOWN((AA5*$AB$3)*(I5),-1)</f>
        <v>320450</v>
      </c>
      <c r="AC5" s="394">
        <f>SUM(U5,V5,W5,Z5,AB5)</f>
        <v>3850030</v>
      </c>
      <c r="AD5" s="395">
        <f>INT(P5/12/10)*10</f>
        <v>3423670</v>
      </c>
      <c r="AE5" s="883">
        <f>P5+AC5+AD5</f>
        <v>48357780</v>
      </c>
      <c r="AF5" s="883"/>
    </row>
    <row r="6" spans="1:32" ht="54.75" customHeight="1">
      <c r="A6" s="474">
        <v>2</v>
      </c>
      <c r="B6" s="380" t="s">
        <v>355</v>
      </c>
      <c r="C6" s="381" t="s">
        <v>354</v>
      </c>
      <c r="D6" s="382">
        <v>1</v>
      </c>
      <c r="E6" s="380">
        <v>6</v>
      </c>
      <c r="F6" s="383">
        <v>2366000</v>
      </c>
      <c r="G6" s="383">
        <f aca="true" t="shared" si="7" ref="G6:G17">F6*$G$3</f>
        <v>70980</v>
      </c>
      <c r="H6" s="384">
        <f aca="true" t="shared" si="8" ref="H6:H17">INT((F6+G6)/1000)*1000</f>
        <v>2436000</v>
      </c>
      <c r="I6" s="385">
        <v>12</v>
      </c>
      <c r="J6" s="386">
        <f t="shared" si="0"/>
        <v>29232000</v>
      </c>
      <c r="K6" s="387">
        <f aca="true" t="shared" si="9" ref="K6:K17">H6*1.2</f>
        <v>2923200</v>
      </c>
      <c r="L6" s="387"/>
      <c r="M6" s="387">
        <f t="shared" si="1"/>
        <v>4195980</v>
      </c>
      <c r="N6" s="387">
        <f aca="true" t="shared" si="10" ref="N6:N7">60000*I6</f>
        <v>720000</v>
      </c>
      <c r="O6" s="388">
        <f aca="true" t="shared" si="11" ref="O6:O17">SUM((K6:N6),)</f>
        <v>7839180</v>
      </c>
      <c r="P6" s="389">
        <f aca="true" t="shared" si="12" ref="P6:P17">J6+O6</f>
        <v>37071180</v>
      </c>
      <c r="Q6" s="390">
        <f aca="true" t="shared" si="13" ref="Q6:Q17">(J6+O6)/12</f>
        <v>3089265</v>
      </c>
      <c r="R6" s="390">
        <f aca="true" t="shared" si="14" ref="R6:R17">Q6*12</f>
        <v>37071180</v>
      </c>
      <c r="S6" s="390">
        <f aca="true" t="shared" si="15" ref="S6:S17">INT((Q6*0.045*I6)/10)*10</f>
        <v>1668200</v>
      </c>
      <c r="T6" s="390">
        <f aca="true" t="shared" si="16" ref="T6:T17">P6/12</f>
        <v>3089265</v>
      </c>
      <c r="U6" s="387">
        <f t="shared" si="2"/>
        <v>1110280</v>
      </c>
      <c r="V6" s="387">
        <f t="shared" si="3"/>
        <v>72720</v>
      </c>
      <c r="W6" s="387">
        <f aca="true" t="shared" si="17" ref="W6:X17">S6</f>
        <v>1668200</v>
      </c>
      <c r="X6" s="391">
        <f t="shared" si="17"/>
        <v>3089265</v>
      </c>
      <c r="Y6" s="392">
        <f t="shared" si="4"/>
        <v>203890</v>
      </c>
      <c r="Z6" s="393">
        <f t="shared" si="5"/>
        <v>333640</v>
      </c>
      <c r="AA6" s="390">
        <f aca="true" t="shared" si="18" ref="AA6:AA17">X6</f>
        <v>3089265</v>
      </c>
      <c r="AB6" s="387">
        <f t="shared" si="6"/>
        <v>289150</v>
      </c>
      <c r="AC6" s="394">
        <f aca="true" t="shared" si="19" ref="AC6:AC17">SUM(U6,V6,W6,Z6,AB6)</f>
        <v>3473990</v>
      </c>
      <c r="AD6" s="395">
        <f aca="true" t="shared" si="20" ref="AD6:AD17">INT(P6/12/10)*10</f>
        <v>3089260</v>
      </c>
      <c r="AE6" s="883">
        <f>P6+AC6+AD6</f>
        <v>43634430</v>
      </c>
      <c r="AF6" s="883"/>
    </row>
    <row r="7" spans="1:32" ht="54.75" customHeight="1">
      <c r="A7" s="474">
        <v>3</v>
      </c>
      <c r="B7" s="380" t="s">
        <v>356</v>
      </c>
      <c r="C7" s="381" t="s">
        <v>354</v>
      </c>
      <c r="D7" s="382">
        <v>1</v>
      </c>
      <c r="E7" s="380">
        <v>6</v>
      </c>
      <c r="F7" s="383">
        <v>2143000</v>
      </c>
      <c r="G7" s="383">
        <f t="shared" si="7"/>
        <v>64290</v>
      </c>
      <c r="H7" s="384">
        <f t="shared" si="8"/>
        <v>2207000</v>
      </c>
      <c r="I7" s="385">
        <v>12</v>
      </c>
      <c r="J7" s="386">
        <f t="shared" si="0"/>
        <v>26484000</v>
      </c>
      <c r="K7" s="387">
        <f t="shared" si="9"/>
        <v>2648400</v>
      </c>
      <c r="L7" s="396"/>
      <c r="M7" s="387">
        <f t="shared" si="1"/>
        <v>3801530</v>
      </c>
      <c r="N7" s="387">
        <f t="shared" si="10"/>
        <v>720000</v>
      </c>
      <c r="O7" s="388">
        <f t="shared" si="11"/>
        <v>7169930</v>
      </c>
      <c r="P7" s="389">
        <f t="shared" si="12"/>
        <v>33653930</v>
      </c>
      <c r="Q7" s="390">
        <f t="shared" si="13"/>
        <v>2804494.1666666665</v>
      </c>
      <c r="R7" s="390">
        <f t="shared" si="14"/>
        <v>33653930</v>
      </c>
      <c r="S7" s="390">
        <f t="shared" si="15"/>
        <v>1514420</v>
      </c>
      <c r="T7" s="390">
        <f t="shared" si="16"/>
        <v>2804494.1666666665</v>
      </c>
      <c r="U7" s="387">
        <f t="shared" si="2"/>
        <v>1007930</v>
      </c>
      <c r="V7" s="387">
        <f t="shared" si="3"/>
        <v>66010</v>
      </c>
      <c r="W7" s="387">
        <f t="shared" si="17"/>
        <v>1514420</v>
      </c>
      <c r="X7" s="391">
        <f t="shared" si="17"/>
        <v>2804494.1666666665</v>
      </c>
      <c r="Y7" s="392">
        <f t="shared" si="4"/>
        <v>185090</v>
      </c>
      <c r="Z7" s="393">
        <f t="shared" si="5"/>
        <v>302880</v>
      </c>
      <c r="AA7" s="390">
        <f t="shared" si="18"/>
        <v>2804494.1666666665</v>
      </c>
      <c r="AB7" s="387">
        <f t="shared" si="6"/>
        <v>262500</v>
      </c>
      <c r="AC7" s="394">
        <f t="shared" si="19"/>
        <v>3153740</v>
      </c>
      <c r="AD7" s="395">
        <f t="shared" si="20"/>
        <v>2804490</v>
      </c>
      <c r="AE7" s="883">
        <f aca="true" t="shared" si="21" ref="AE7:AE17">P7+AC7+AD7</f>
        <v>39612160</v>
      </c>
      <c r="AF7" s="883"/>
    </row>
    <row r="8" spans="1:32" ht="54.75" customHeight="1">
      <c r="A8" s="474">
        <v>4</v>
      </c>
      <c r="B8" s="380" t="s">
        <v>357</v>
      </c>
      <c r="C8" s="381" t="s">
        <v>354</v>
      </c>
      <c r="D8" s="382">
        <v>1</v>
      </c>
      <c r="E8" s="380">
        <v>6</v>
      </c>
      <c r="F8" s="383">
        <v>2143000</v>
      </c>
      <c r="G8" s="383">
        <f t="shared" si="7"/>
        <v>64290</v>
      </c>
      <c r="H8" s="384">
        <f t="shared" si="8"/>
        <v>2207000</v>
      </c>
      <c r="I8" s="385">
        <v>12</v>
      </c>
      <c r="J8" s="386">
        <f t="shared" si="0"/>
        <v>26484000</v>
      </c>
      <c r="K8" s="387">
        <f t="shared" si="9"/>
        <v>2648400</v>
      </c>
      <c r="L8" s="397"/>
      <c r="M8" s="387">
        <f t="shared" si="1"/>
        <v>3801530</v>
      </c>
      <c r="N8" s="387">
        <f>60000*I8</f>
        <v>720000</v>
      </c>
      <c r="O8" s="388">
        <f t="shared" si="11"/>
        <v>7169930</v>
      </c>
      <c r="P8" s="389">
        <f t="shared" si="12"/>
        <v>33653930</v>
      </c>
      <c r="Q8" s="390">
        <f t="shared" si="13"/>
        <v>2804494.1666666665</v>
      </c>
      <c r="R8" s="390">
        <f t="shared" si="14"/>
        <v>33653930</v>
      </c>
      <c r="S8" s="390">
        <f t="shared" si="15"/>
        <v>1514420</v>
      </c>
      <c r="T8" s="390">
        <f t="shared" si="16"/>
        <v>2804494.1666666665</v>
      </c>
      <c r="U8" s="387">
        <f t="shared" si="2"/>
        <v>1007930</v>
      </c>
      <c r="V8" s="387">
        <f t="shared" si="3"/>
        <v>66010</v>
      </c>
      <c r="W8" s="387">
        <f t="shared" si="17"/>
        <v>1514420</v>
      </c>
      <c r="X8" s="391">
        <f t="shared" si="17"/>
        <v>2804494.1666666665</v>
      </c>
      <c r="Y8" s="392">
        <f t="shared" si="4"/>
        <v>185090</v>
      </c>
      <c r="Z8" s="393">
        <f t="shared" si="5"/>
        <v>302880</v>
      </c>
      <c r="AA8" s="390">
        <f t="shared" si="18"/>
        <v>2804494.1666666665</v>
      </c>
      <c r="AB8" s="387">
        <f t="shared" si="6"/>
        <v>262500</v>
      </c>
      <c r="AC8" s="394">
        <f t="shared" si="19"/>
        <v>3153740</v>
      </c>
      <c r="AD8" s="395">
        <f t="shared" si="20"/>
        <v>2804490</v>
      </c>
      <c r="AE8" s="883">
        <f t="shared" si="21"/>
        <v>39612160</v>
      </c>
      <c r="AF8" s="883"/>
    </row>
    <row r="9" spans="1:32" ht="54.75" customHeight="1">
      <c r="A9" s="474"/>
      <c r="B9" s="380" t="s">
        <v>447</v>
      </c>
      <c r="C9" s="381" t="s">
        <v>354</v>
      </c>
      <c r="D9" s="382">
        <v>1</v>
      </c>
      <c r="E9" s="380">
        <v>6</v>
      </c>
      <c r="F9" s="383">
        <v>2440000</v>
      </c>
      <c r="G9" s="383"/>
      <c r="H9" s="384">
        <f t="shared" si="8"/>
        <v>2440000</v>
      </c>
      <c r="I9" s="385">
        <v>12</v>
      </c>
      <c r="J9" s="386">
        <f t="shared" si="0"/>
        <v>29280000</v>
      </c>
      <c r="K9" s="387"/>
      <c r="L9" s="397"/>
      <c r="M9" s="387"/>
      <c r="N9" s="387"/>
      <c r="O9" s="388"/>
      <c r="P9" s="389">
        <f t="shared" si="12"/>
        <v>29280000</v>
      </c>
      <c r="Q9" s="390">
        <f t="shared" si="13"/>
        <v>2440000</v>
      </c>
      <c r="R9" s="390">
        <f t="shared" si="14"/>
        <v>29280000</v>
      </c>
      <c r="S9" s="390">
        <f t="shared" si="15"/>
        <v>1317600</v>
      </c>
      <c r="T9" s="390">
        <f t="shared" si="16"/>
        <v>2440000</v>
      </c>
      <c r="U9" s="387">
        <f t="shared" si="2"/>
        <v>876930</v>
      </c>
      <c r="V9" s="387">
        <f t="shared" si="3"/>
        <v>57430</v>
      </c>
      <c r="W9" s="387"/>
      <c r="X9" s="391"/>
      <c r="Y9" s="392"/>
      <c r="Z9" s="393"/>
      <c r="AA9" s="390"/>
      <c r="AB9" s="387"/>
      <c r="AC9" s="394">
        <f t="shared" si="19"/>
        <v>934360</v>
      </c>
      <c r="AD9" s="395"/>
      <c r="AE9" s="883">
        <f t="shared" si="21"/>
        <v>30214360</v>
      </c>
      <c r="AF9" s="883"/>
    </row>
    <row r="10" spans="1:32" s="398" customFormat="1" ht="54.75" customHeight="1" thickBot="1">
      <c r="A10" s="474">
        <v>5</v>
      </c>
      <c r="B10" s="380" t="s">
        <v>358</v>
      </c>
      <c r="C10" s="381" t="s">
        <v>354</v>
      </c>
      <c r="D10" s="382">
        <v>1</v>
      </c>
      <c r="E10" s="380">
        <v>6</v>
      </c>
      <c r="F10" s="383">
        <v>1893000</v>
      </c>
      <c r="G10" s="383">
        <f t="shared" si="7"/>
        <v>56790</v>
      </c>
      <c r="H10" s="384">
        <f t="shared" si="8"/>
        <v>1949000</v>
      </c>
      <c r="I10" s="385">
        <v>12</v>
      </c>
      <c r="J10" s="386">
        <f t="shared" si="0"/>
        <v>23388000</v>
      </c>
      <c r="K10" s="387">
        <f t="shared" si="9"/>
        <v>2338800</v>
      </c>
      <c r="L10" s="397"/>
      <c r="M10" s="387">
        <f aca="true" t="shared" si="22" ref="M10:M16">ROUNDDOWN((J10*40/209*1.5),-1)</f>
        <v>6714250</v>
      </c>
      <c r="N10" s="387">
        <f>60000*I10</f>
        <v>720000</v>
      </c>
      <c r="O10" s="388">
        <f t="shared" si="11"/>
        <v>9773050</v>
      </c>
      <c r="P10" s="389">
        <f t="shared" si="12"/>
        <v>33161050</v>
      </c>
      <c r="Q10" s="390">
        <f t="shared" si="13"/>
        <v>2763420.8333333335</v>
      </c>
      <c r="R10" s="390">
        <f t="shared" si="14"/>
        <v>33161050</v>
      </c>
      <c r="S10" s="390">
        <f t="shared" si="15"/>
        <v>1492240</v>
      </c>
      <c r="T10" s="390">
        <f t="shared" si="16"/>
        <v>2763420.8333333335</v>
      </c>
      <c r="U10" s="387">
        <f t="shared" si="2"/>
        <v>993170</v>
      </c>
      <c r="V10" s="387">
        <f t="shared" si="3"/>
        <v>65050</v>
      </c>
      <c r="W10" s="387">
        <f t="shared" si="17"/>
        <v>1492240</v>
      </c>
      <c r="X10" s="391">
        <f t="shared" si="17"/>
        <v>2763420.8333333335</v>
      </c>
      <c r="Y10" s="392">
        <f t="shared" si="4"/>
        <v>182380</v>
      </c>
      <c r="Z10" s="393">
        <f t="shared" si="5"/>
        <v>298440</v>
      </c>
      <c r="AA10" s="390">
        <f t="shared" si="18"/>
        <v>2763420.8333333335</v>
      </c>
      <c r="AB10" s="387">
        <f t="shared" si="6"/>
        <v>258650</v>
      </c>
      <c r="AC10" s="394">
        <f t="shared" si="19"/>
        <v>3107550</v>
      </c>
      <c r="AD10" s="395">
        <f t="shared" si="20"/>
        <v>2763420</v>
      </c>
      <c r="AE10" s="883">
        <f t="shared" si="21"/>
        <v>39032020</v>
      </c>
      <c r="AF10" s="883"/>
    </row>
    <row r="11" spans="1:32" s="399" customFormat="1" ht="54.75" customHeight="1" thickBot="1" thickTop="1">
      <c r="A11" s="474">
        <v>6</v>
      </c>
      <c r="B11" s="380" t="s">
        <v>358</v>
      </c>
      <c r="C11" s="381" t="s">
        <v>354</v>
      </c>
      <c r="D11" s="382">
        <v>1</v>
      </c>
      <c r="E11" s="380">
        <v>6</v>
      </c>
      <c r="F11" s="383">
        <v>1893000</v>
      </c>
      <c r="G11" s="383">
        <f t="shared" si="7"/>
        <v>56790</v>
      </c>
      <c r="H11" s="384">
        <f t="shared" si="8"/>
        <v>1949000</v>
      </c>
      <c r="I11" s="385">
        <v>12</v>
      </c>
      <c r="J11" s="386">
        <f t="shared" si="0"/>
        <v>23388000</v>
      </c>
      <c r="K11" s="387">
        <f t="shared" si="9"/>
        <v>2338800</v>
      </c>
      <c r="L11" s="397"/>
      <c r="M11" s="387">
        <f t="shared" si="22"/>
        <v>6714250</v>
      </c>
      <c r="N11" s="387">
        <f>60000*I11</f>
        <v>720000</v>
      </c>
      <c r="O11" s="388">
        <f t="shared" si="11"/>
        <v>9773050</v>
      </c>
      <c r="P11" s="389">
        <f t="shared" si="12"/>
        <v>33161050</v>
      </c>
      <c r="Q11" s="390">
        <f t="shared" si="13"/>
        <v>2763420.8333333335</v>
      </c>
      <c r="R11" s="390">
        <f t="shared" si="14"/>
        <v>33161050</v>
      </c>
      <c r="S11" s="390">
        <f t="shared" si="15"/>
        <v>1492240</v>
      </c>
      <c r="T11" s="390">
        <f t="shared" si="16"/>
        <v>2763420.8333333335</v>
      </c>
      <c r="U11" s="387">
        <f t="shared" si="2"/>
        <v>993170</v>
      </c>
      <c r="V11" s="387">
        <f t="shared" si="3"/>
        <v>65050</v>
      </c>
      <c r="W11" s="387">
        <f t="shared" si="17"/>
        <v>1492240</v>
      </c>
      <c r="X11" s="391">
        <f t="shared" si="17"/>
        <v>2763420.8333333335</v>
      </c>
      <c r="Y11" s="392">
        <f t="shared" si="4"/>
        <v>182380</v>
      </c>
      <c r="Z11" s="393">
        <f t="shared" si="5"/>
        <v>298440</v>
      </c>
      <c r="AA11" s="390">
        <f t="shared" si="18"/>
        <v>2763420.8333333335</v>
      </c>
      <c r="AB11" s="387">
        <f t="shared" si="6"/>
        <v>258650</v>
      </c>
      <c r="AC11" s="394">
        <f t="shared" si="19"/>
        <v>3107550</v>
      </c>
      <c r="AD11" s="395">
        <f t="shared" si="20"/>
        <v>2763420</v>
      </c>
      <c r="AE11" s="883">
        <f t="shared" si="21"/>
        <v>39032020</v>
      </c>
      <c r="AF11" s="883"/>
    </row>
    <row r="12" spans="1:32" s="399" customFormat="1" ht="54.75" customHeight="1" thickTop="1">
      <c r="A12" s="474">
        <v>7</v>
      </c>
      <c r="B12" s="380" t="s">
        <v>358</v>
      </c>
      <c r="C12" s="381" t="s">
        <v>354</v>
      </c>
      <c r="D12" s="382">
        <v>1</v>
      </c>
      <c r="E12" s="380">
        <v>6</v>
      </c>
      <c r="F12" s="383">
        <v>1893000</v>
      </c>
      <c r="G12" s="383">
        <f t="shared" si="7"/>
        <v>56790</v>
      </c>
      <c r="H12" s="384">
        <f t="shared" si="8"/>
        <v>1949000</v>
      </c>
      <c r="I12" s="385">
        <v>12</v>
      </c>
      <c r="J12" s="386">
        <f t="shared" si="0"/>
        <v>23388000</v>
      </c>
      <c r="K12" s="387">
        <f t="shared" si="9"/>
        <v>2338800</v>
      </c>
      <c r="L12" s="397"/>
      <c r="M12" s="387">
        <f t="shared" si="22"/>
        <v>6714250</v>
      </c>
      <c r="N12" s="387"/>
      <c r="O12" s="388">
        <f t="shared" si="11"/>
        <v>9053050</v>
      </c>
      <c r="P12" s="389">
        <f t="shared" si="12"/>
        <v>32441050</v>
      </c>
      <c r="Q12" s="390">
        <f t="shared" si="13"/>
        <v>2703420.8333333335</v>
      </c>
      <c r="R12" s="390">
        <f t="shared" si="14"/>
        <v>32441050</v>
      </c>
      <c r="S12" s="390">
        <f t="shared" si="15"/>
        <v>1459840</v>
      </c>
      <c r="T12" s="390">
        <f t="shared" si="16"/>
        <v>2703420.8333333335</v>
      </c>
      <c r="U12" s="387">
        <f t="shared" si="2"/>
        <v>971600</v>
      </c>
      <c r="V12" s="387">
        <f t="shared" si="3"/>
        <v>63630</v>
      </c>
      <c r="W12" s="387">
        <f t="shared" si="17"/>
        <v>1459840</v>
      </c>
      <c r="X12" s="391">
        <f t="shared" si="17"/>
        <v>2703420.8333333335</v>
      </c>
      <c r="Y12" s="392">
        <f t="shared" si="4"/>
        <v>178420</v>
      </c>
      <c r="Z12" s="393">
        <f t="shared" si="5"/>
        <v>291960</v>
      </c>
      <c r="AA12" s="390">
        <f t="shared" si="18"/>
        <v>2703420.8333333335</v>
      </c>
      <c r="AB12" s="387">
        <f t="shared" si="6"/>
        <v>253040</v>
      </c>
      <c r="AC12" s="394">
        <f t="shared" si="19"/>
        <v>3040070</v>
      </c>
      <c r="AD12" s="395">
        <f t="shared" si="20"/>
        <v>2703420</v>
      </c>
      <c r="AE12" s="883">
        <f t="shared" si="21"/>
        <v>38184540</v>
      </c>
      <c r="AF12" s="883"/>
    </row>
    <row r="13" spans="1:32" s="400" customFormat="1" ht="54.75" customHeight="1" thickBot="1">
      <c r="A13" s="474">
        <v>8</v>
      </c>
      <c r="B13" s="380" t="s">
        <v>358</v>
      </c>
      <c r="C13" s="381" t="s">
        <v>354</v>
      </c>
      <c r="D13" s="382">
        <v>1</v>
      </c>
      <c r="E13" s="380">
        <v>6</v>
      </c>
      <c r="F13" s="383">
        <v>1893000</v>
      </c>
      <c r="G13" s="383">
        <f t="shared" si="7"/>
        <v>56790</v>
      </c>
      <c r="H13" s="384">
        <f t="shared" si="8"/>
        <v>1949000</v>
      </c>
      <c r="I13" s="385">
        <v>12</v>
      </c>
      <c r="J13" s="386">
        <f t="shared" si="0"/>
        <v>23388000</v>
      </c>
      <c r="K13" s="387">
        <f t="shared" si="9"/>
        <v>2338800</v>
      </c>
      <c r="L13" s="397"/>
      <c r="M13" s="387">
        <f t="shared" si="22"/>
        <v>6714250</v>
      </c>
      <c r="N13" s="387"/>
      <c r="O13" s="388">
        <f t="shared" si="11"/>
        <v>9053050</v>
      </c>
      <c r="P13" s="389">
        <f t="shared" si="12"/>
        <v>32441050</v>
      </c>
      <c r="Q13" s="390">
        <f t="shared" si="13"/>
        <v>2703420.8333333335</v>
      </c>
      <c r="R13" s="390">
        <f t="shared" si="14"/>
        <v>32441050</v>
      </c>
      <c r="S13" s="390">
        <f t="shared" si="15"/>
        <v>1459840</v>
      </c>
      <c r="T13" s="390">
        <f t="shared" si="16"/>
        <v>2703420.8333333335</v>
      </c>
      <c r="U13" s="387">
        <f t="shared" si="2"/>
        <v>971600</v>
      </c>
      <c r="V13" s="387">
        <f t="shared" si="3"/>
        <v>63630</v>
      </c>
      <c r="W13" s="387">
        <f t="shared" si="17"/>
        <v>1459840</v>
      </c>
      <c r="X13" s="391">
        <f t="shared" si="17"/>
        <v>2703420.8333333335</v>
      </c>
      <c r="Y13" s="392">
        <f t="shared" si="4"/>
        <v>178420</v>
      </c>
      <c r="Z13" s="393">
        <f t="shared" si="5"/>
        <v>291960</v>
      </c>
      <c r="AA13" s="390">
        <f t="shared" si="18"/>
        <v>2703420.8333333335</v>
      </c>
      <c r="AB13" s="387">
        <f t="shared" si="6"/>
        <v>253040</v>
      </c>
      <c r="AC13" s="394">
        <f t="shared" si="19"/>
        <v>3040070</v>
      </c>
      <c r="AD13" s="395">
        <f t="shared" si="20"/>
        <v>2703420</v>
      </c>
      <c r="AE13" s="883">
        <f t="shared" si="21"/>
        <v>38184540</v>
      </c>
      <c r="AF13" s="883"/>
    </row>
    <row r="14" spans="1:32" s="399" customFormat="1" ht="54.75" customHeight="1" thickTop="1">
      <c r="A14" s="474">
        <v>9</v>
      </c>
      <c r="B14" s="380" t="s">
        <v>359</v>
      </c>
      <c r="C14" s="381" t="s">
        <v>354</v>
      </c>
      <c r="D14" s="382">
        <v>1</v>
      </c>
      <c r="E14" s="380">
        <v>6</v>
      </c>
      <c r="F14" s="383">
        <v>2143000</v>
      </c>
      <c r="G14" s="383">
        <f t="shared" si="7"/>
        <v>64290</v>
      </c>
      <c r="H14" s="384">
        <f t="shared" si="8"/>
        <v>2207000</v>
      </c>
      <c r="I14" s="385">
        <v>12</v>
      </c>
      <c r="J14" s="386">
        <f t="shared" si="0"/>
        <v>26484000</v>
      </c>
      <c r="K14" s="387">
        <f t="shared" si="9"/>
        <v>2648400</v>
      </c>
      <c r="L14" s="397"/>
      <c r="M14" s="387">
        <f>ROUNDDOWN((J14*20/209*1.5),-1)</f>
        <v>3801530</v>
      </c>
      <c r="N14" s="387">
        <f>40000*I14</f>
        <v>480000</v>
      </c>
      <c r="O14" s="388">
        <f t="shared" si="11"/>
        <v>6929930</v>
      </c>
      <c r="P14" s="389">
        <f t="shared" si="12"/>
        <v>33413930</v>
      </c>
      <c r="Q14" s="390">
        <f t="shared" si="13"/>
        <v>2784494.1666666665</v>
      </c>
      <c r="R14" s="390">
        <f t="shared" si="14"/>
        <v>33413930</v>
      </c>
      <c r="S14" s="390">
        <f t="shared" si="15"/>
        <v>1503620</v>
      </c>
      <c r="T14" s="390">
        <f t="shared" si="16"/>
        <v>2784494.1666666665</v>
      </c>
      <c r="U14" s="387">
        <f t="shared" si="2"/>
        <v>1000740</v>
      </c>
      <c r="V14" s="387">
        <f t="shared" si="3"/>
        <v>65540</v>
      </c>
      <c r="W14" s="387">
        <f t="shared" si="17"/>
        <v>1503620</v>
      </c>
      <c r="X14" s="391">
        <f t="shared" si="17"/>
        <v>2784494.1666666665</v>
      </c>
      <c r="Y14" s="392">
        <f t="shared" si="4"/>
        <v>183770</v>
      </c>
      <c r="Z14" s="393">
        <f t="shared" si="5"/>
        <v>300720</v>
      </c>
      <c r="AA14" s="390">
        <f t="shared" si="18"/>
        <v>2784494.1666666665</v>
      </c>
      <c r="AB14" s="387">
        <f t="shared" si="6"/>
        <v>260620</v>
      </c>
      <c r="AC14" s="394">
        <f t="shared" si="19"/>
        <v>3131240</v>
      </c>
      <c r="AD14" s="395">
        <f t="shared" si="20"/>
        <v>2784490</v>
      </c>
      <c r="AE14" s="883">
        <f t="shared" si="21"/>
        <v>39329660</v>
      </c>
      <c r="AF14" s="883"/>
    </row>
    <row r="15" spans="1:32" s="400" customFormat="1" ht="54.75" customHeight="1" thickBot="1">
      <c r="A15" s="474">
        <v>10</v>
      </c>
      <c r="B15" s="380" t="s">
        <v>360</v>
      </c>
      <c r="C15" s="381" t="s">
        <v>354</v>
      </c>
      <c r="D15" s="382">
        <v>1</v>
      </c>
      <c r="E15" s="380">
        <v>6</v>
      </c>
      <c r="F15" s="383">
        <v>1694000</v>
      </c>
      <c r="G15" s="383">
        <f t="shared" si="7"/>
        <v>50820</v>
      </c>
      <c r="H15" s="384">
        <f t="shared" si="8"/>
        <v>1744000</v>
      </c>
      <c r="I15" s="385">
        <v>12</v>
      </c>
      <c r="J15" s="386">
        <f t="shared" si="0"/>
        <v>20928000</v>
      </c>
      <c r="K15" s="387">
        <f t="shared" si="9"/>
        <v>2092800</v>
      </c>
      <c r="L15" s="397"/>
      <c r="M15" s="387">
        <f t="shared" si="22"/>
        <v>6008030</v>
      </c>
      <c r="N15" s="387">
        <f aca="true" t="shared" si="23" ref="N15:N17">40000*I15</f>
        <v>480000</v>
      </c>
      <c r="O15" s="388">
        <f t="shared" si="11"/>
        <v>8580830</v>
      </c>
      <c r="P15" s="389">
        <f t="shared" si="12"/>
        <v>29508830</v>
      </c>
      <c r="Q15" s="390">
        <f t="shared" si="13"/>
        <v>2459069.1666666665</v>
      </c>
      <c r="R15" s="390">
        <f t="shared" si="14"/>
        <v>29508830</v>
      </c>
      <c r="S15" s="390">
        <f t="shared" si="15"/>
        <v>1327890</v>
      </c>
      <c r="T15" s="390">
        <f t="shared" si="16"/>
        <v>2459069.1666666665</v>
      </c>
      <c r="U15" s="387">
        <f t="shared" si="2"/>
        <v>883780</v>
      </c>
      <c r="V15" s="387">
        <f t="shared" si="3"/>
        <v>57880</v>
      </c>
      <c r="W15" s="387">
        <f t="shared" si="17"/>
        <v>1327890</v>
      </c>
      <c r="X15" s="391">
        <f t="shared" si="17"/>
        <v>2459069.1666666665</v>
      </c>
      <c r="Y15" s="392">
        <f t="shared" si="4"/>
        <v>162290</v>
      </c>
      <c r="Z15" s="393">
        <f t="shared" si="5"/>
        <v>265570</v>
      </c>
      <c r="AA15" s="390">
        <f t="shared" si="18"/>
        <v>2459069.1666666665</v>
      </c>
      <c r="AB15" s="387">
        <f t="shared" si="6"/>
        <v>230160</v>
      </c>
      <c r="AC15" s="394">
        <f t="shared" si="19"/>
        <v>2765280</v>
      </c>
      <c r="AD15" s="395">
        <f t="shared" si="20"/>
        <v>2459060</v>
      </c>
      <c r="AE15" s="883">
        <f t="shared" si="21"/>
        <v>34733170</v>
      </c>
      <c r="AF15" s="883"/>
    </row>
    <row r="16" spans="1:32" s="399" customFormat="1" ht="54.75" customHeight="1" thickTop="1">
      <c r="A16" s="474">
        <v>11</v>
      </c>
      <c r="B16" s="380" t="s">
        <v>360</v>
      </c>
      <c r="C16" s="381" t="s">
        <v>354</v>
      </c>
      <c r="D16" s="382">
        <v>1</v>
      </c>
      <c r="E16" s="380">
        <v>6</v>
      </c>
      <c r="F16" s="383">
        <v>1694000</v>
      </c>
      <c r="G16" s="383">
        <f t="shared" si="7"/>
        <v>50820</v>
      </c>
      <c r="H16" s="384">
        <f t="shared" si="8"/>
        <v>1744000</v>
      </c>
      <c r="I16" s="385">
        <v>12</v>
      </c>
      <c r="J16" s="386">
        <f t="shared" si="0"/>
        <v>20928000</v>
      </c>
      <c r="K16" s="387">
        <f t="shared" si="9"/>
        <v>2092800</v>
      </c>
      <c r="L16" s="397"/>
      <c r="M16" s="387">
        <f t="shared" si="22"/>
        <v>6008030</v>
      </c>
      <c r="N16" s="387">
        <f t="shared" si="23"/>
        <v>480000</v>
      </c>
      <c r="O16" s="388">
        <f t="shared" si="11"/>
        <v>8580830</v>
      </c>
      <c r="P16" s="389">
        <f t="shared" si="12"/>
        <v>29508830</v>
      </c>
      <c r="Q16" s="390">
        <f t="shared" si="13"/>
        <v>2459069.1666666665</v>
      </c>
      <c r="R16" s="390">
        <f t="shared" si="14"/>
        <v>29508830</v>
      </c>
      <c r="S16" s="390">
        <f t="shared" si="15"/>
        <v>1327890</v>
      </c>
      <c r="T16" s="390">
        <f t="shared" si="16"/>
        <v>2459069.1666666665</v>
      </c>
      <c r="U16" s="387">
        <f t="shared" si="2"/>
        <v>883780</v>
      </c>
      <c r="V16" s="387">
        <f t="shared" si="3"/>
        <v>57880</v>
      </c>
      <c r="W16" s="387">
        <f t="shared" si="17"/>
        <v>1327890</v>
      </c>
      <c r="X16" s="391">
        <f t="shared" si="17"/>
        <v>2459069.1666666665</v>
      </c>
      <c r="Y16" s="392">
        <f t="shared" si="4"/>
        <v>162290</v>
      </c>
      <c r="Z16" s="393">
        <f t="shared" si="5"/>
        <v>265570</v>
      </c>
      <c r="AA16" s="390">
        <f t="shared" si="18"/>
        <v>2459069.1666666665</v>
      </c>
      <c r="AB16" s="387">
        <f t="shared" si="6"/>
        <v>230160</v>
      </c>
      <c r="AC16" s="394">
        <f t="shared" si="19"/>
        <v>2765280</v>
      </c>
      <c r="AD16" s="395">
        <f t="shared" si="20"/>
        <v>2459060</v>
      </c>
      <c r="AE16" s="883">
        <f t="shared" si="21"/>
        <v>34733170</v>
      </c>
      <c r="AF16" s="883"/>
    </row>
    <row r="17" spans="1:32" s="400" customFormat="1" ht="54.75" customHeight="1" thickBot="1">
      <c r="A17" s="474">
        <v>12</v>
      </c>
      <c r="B17" s="380" t="s">
        <v>361</v>
      </c>
      <c r="C17" s="381" t="s">
        <v>354</v>
      </c>
      <c r="D17" s="382">
        <v>1</v>
      </c>
      <c r="E17" s="380">
        <v>6</v>
      </c>
      <c r="F17" s="383">
        <v>1694000</v>
      </c>
      <c r="G17" s="383">
        <f t="shared" si="7"/>
        <v>50820</v>
      </c>
      <c r="H17" s="384">
        <f t="shared" si="8"/>
        <v>1744000</v>
      </c>
      <c r="I17" s="385">
        <v>12</v>
      </c>
      <c r="J17" s="386">
        <f t="shared" si="0"/>
        <v>20928000</v>
      </c>
      <c r="K17" s="387">
        <f t="shared" si="9"/>
        <v>2092800</v>
      </c>
      <c r="L17" s="397"/>
      <c r="M17" s="387">
        <f>ROUNDDOWN((J17*20/209*1.5),-1)</f>
        <v>3004010</v>
      </c>
      <c r="N17" s="387">
        <f t="shared" si="23"/>
        <v>480000</v>
      </c>
      <c r="O17" s="388">
        <f t="shared" si="11"/>
        <v>5576810</v>
      </c>
      <c r="P17" s="389">
        <f t="shared" si="12"/>
        <v>26504810</v>
      </c>
      <c r="Q17" s="390">
        <f t="shared" si="13"/>
        <v>2208734.1666666665</v>
      </c>
      <c r="R17" s="390">
        <f t="shared" si="14"/>
        <v>26504810</v>
      </c>
      <c r="S17" s="390">
        <f t="shared" si="15"/>
        <v>1192710</v>
      </c>
      <c r="T17" s="390">
        <f t="shared" si="16"/>
        <v>2208734.1666666665</v>
      </c>
      <c r="U17" s="387">
        <f t="shared" si="2"/>
        <v>793810</v>
      </c>
      <c r="V17" s="387">
        <f t="shared" si="3"/>
        <v>51990</v>
      </c>
      <c r="W17" s="387">
        <f t="shared" si="17"/>
        <v>1192710</v>
      </c>
      <c r="X17" s="391">
        <f t="shared" si="17"/>
        <v>2208734.1666666665</v>
      </c>
      <c r="Y17" s="392">
        <f t="shared" si="4"/>
        <v>145770</v>
      </c>
      <c r="Z17" s="393">
        <f t="shared" si="5"/>
        <v>238540</v>
      </c>
      <c r="AA17" s="390">
        <f t="shared" si="18"/>
        <v>2208734.1666666665</v>
      </c>
      <c r="AB17" s="387">
        <f t="shared" si="6"/>
        <v>206730</v>
      </c>
      <c r="AC17" s="394">
        <f t="shared" si="19"/>
        <v>2483780</v>
      </c>
      <c r="AD17" s="395">
        <f t="shared" si="20"/>
        <v>2208730</v>
      </c>
      <c r="AE17" s="883">
        <f t="shared" si="21"/>
        <v>31197320</v>
      </c>
      <c r="AF17" s="883"/>
    </row>
    <row r="18" spans="1:32" ht="48" customHeight="1" thickTop="1">
      <c r="A18" s="884" t="s">
        <v>362</v>
      </c>
      <c r="B18" s="884"/>
      <c r="C18" s="884"/>
      <c r="D18" s="884"/>
      <c r="E18" s="884"/>
      <c r="F18" s="401"/>
      <c r="G18" s="401"/>
      <c r="H18" s="402">
        <f>SUM(H5:H17)</f>
        <v>27246000</v>
      </c>
      <c r="I18" s="402"/>
      <c r="J18" s="403">
        <f>SUM(J5:J17)</f>
        <v>326952000</v>
      </c>
      <c r="K18" s="403">
        <f aca="true" t="shared" si="24" ref="K18:AF18">SUM(K5:K17)</f>
        <v>29767200</v>
      </c>
      <c r="L18" s="403">
        <f t="shared" si="24"/>
        <v>0</v>
      </c>
      <c r="M18" s="403">
        <f t="shared" si="24"/>
        <v>62164520</v>
      </c>
      <c r="N18" s="403">
        <f t="shared" si="24"/>
        <v>6000000</v>
      </c>
      <c r="O18" s="404">
        <f t="shared" si="24"/>
        <v>97931720</v>
      </c>
      <c r="P18" s="405">
        <f t="shared" si="24"/>
        <v>424883720</v>
      </c>
      <c r="Q18" s="403">
        <f t="shared" si="24"/>
        <v>35406976.666666664</v>
      </c>
      <c r="R18" s="403">
        <f t="shared" si="24"/>
        <v>414612700</v>
      </c>
      <c r="S18" s="403">
        <f t="shared" si="24"/>
        <v>19119690</v>
      </c>
      <c r="T18" s="403">
        <f t="shared" si="24"/>
        <v>35406976.666666664</v>
      </c>
      <c r="U18" s="403">
        <f t="shared" si="24"/>
        <v>12725180</v>
      </c>
      <c r="V18" s="403">
        <f t="shared" si="24"/>
        <v>833410</v>
      </c>
      <c r="W18" s="403">
        <f t="shared" si="24"/>
        <v>17802090</v>
      </c>
      <c r="X18" s="403">
        <f t="shared" si="24"/>
        <v>32966976.666666668</v>
      </c>
      <c r="Y18" s="403">
        <f t="shared" si="24"/>
        <v>2175750</v>
      </c>
      <c r="Z18" s="403">
        <f t="shared" si="24"/>
        <v>3560350</v>
      </c>
      <c r="AA18" s="403">
        <f t="shared" si="24"/>
        <v>32966976.666666668</v>
      </c>
      <c r="AB18" s="403">
        <f t="shared" si="24"/>
        <v>3085650</v>
      </c>
      <c r="AC18" s="404">
        <f t="shared" si="24"/>
        <v>38006680</v>
      </c>
      <c r="AD18" s="406">
        <f t="shared" si="24"/>
        <v>32966930</v>
      </c>
      <c r="AE18" s="405">
        <f t="shared" si="24"/>
        <v>495857330</v>
      </c>
      <c r="AF18" s="405">
        <f t="shared" si="24"/>
        <v>0</v>
      </c>
    </row>
    <row r="19" spans="1:32" ht="24" customHeight="1" hidden="1">
      <c r="A19" s="407">
        <v>3</v>
      </c>
      <c r="B19" s="475" t="s">
        <v>363</v>
      </c>
      <c r="C19" s="475"/>
      <c r="D19" s="408"/>
      <c r="E19" s="408">
        <v>6</v>
      </c>
      <c r="F19" s="408"/>
      <c r="G19" s="408"/>
      <c r="H19" s="877">
        <f aca="true" t="shared" si="25" ref="H19:H32">80000*3</f>
        <v>240000</v>
      </c>
      <c r="I19" s="878"/>
      <c r="J19" s="409">
        <f>40000*I4</f>
        <v>0</v>
      </c>
      <c r="K19" s="885">
        <f aca="true" t="shared" si="26" ref="K19:K33">H19+J19</f>
        <v>240000</v>
      </c>
      <c r="L19" s="886"/>
      <c r="V19" s="410"/>
      <c r="W19" s="410"/>
      <c r="X19" s="410"/>
      <c r="Y19" s="410"/>
      <c r="Z19" s="411"/>
      <c r="AA19" s="411"/>
      <c r="AB19" s="412"/>
      <c r="AC19" s="412"/>
      <c r="AD19" s="412"/>
      <c r="AE19" s="413"/>
      <c r="AF19" s="413"/>
    </row>
    <row r="20" spans="1:32" ht="24" customHeight="1" hidden="1">
      <c r="A20" s="414">
        <v>4</v>
      </c>
      <c r="B20" s="382" t="s">
        <v>364</v>
      </c>
      <c r="C20" s="382"/>
      <c r="D20" s="382"/>
      <c r="E20" s="382">
        <v>2</v>
      </c>
      <c r="F20" s="382"/>
      <c r="G20" s="382"/>
      <c r="H20" s="877">
        <f t="shared" si="25"/>
        <v>240000</v>
      </c>
      <c r="I20" s="878"/>
      <c r="J20" s="415">
        <f>40000*I5</f>
        <v>480000</v>
      </c>
      <c r="K20" s="879">
        <f t="shared" si="26"/>
        <v>720000</v>
      </c>
      <c r="L20" s="880"/>
      <c r="V20" s="412"/>
      <c r="W20" s="412"/>
      <c r="X20" s="412"/>
      <c r="Y20" s="412"/>
      <c r="Z20" s="411"/>
      <c r="AA20" s="411"/>
      <c r="AB20" s="412"/>
      <c r="AC20" s="412"/>
      <c r="AD20" s="412"/>
      <c r="AE20" s="413"/>
      <c r="AF20" s="413"/>
    </row>
    <row r="21" spans="1:32" ht="24" customHeight="1" hidden="1">
      <c r="A21" s="414">
        <v>5</v>
      </c>
      <c r="B21" s="382" t="s">
        <v>364</v>
      </c>
      <c r="C21" s="382"/>
      <c r="D21" s="382"/>
      <c r="E21" s="382">
        <v>9</v>
      </c>
      <c r="F21" s="382"/>
      <c r="G21" s="382"/>
      <c r="H21" s="877">
        <f t="shared" si="25"/>
        <v>240000</v>
      </c>
      <c r="I21" s="878"/>
      <c r="J21" s="415">
        <f>40000*I6</f>
        <v>480000</v>
      </c>
      <c r="K21" s="879">
        <f t="shared" si="26"/>
        <v>720000</v>
      </c>
      <c r="L21" s="880"/>
      <c r="V21" s="412"/>
      <c r="W21" s="412"/>
      <c r="X21" s="412"/>
      <c r="Y21" s="412"/>
      <c r="Z21" s="411"/>
      <c r="AA21" s="411"/>
      <c r="AB21" s="412"/>
      <c r="AC21" s="412"/>
      <c r="AD21" s="412"/>
      <c r="AE21" s="413"/>
      <c r="AF21" s="413"/>
    </row>
    <row r="22" spans="1:32" ht="24" customHeight="1" hidden="1">
      <c r="A22" s="414">
        <v>6</v>
      </c>
      <c r="B22" s="382" t="s">
        <v>364</v>
      </c>
      <c r="C22" s="382"/>
      <c r="D22" s="382"/>
      <c r="E22" s="382">
        <v>2</v>
      </c>
      <c r="F22" s="382"/>
      <c r="G22" s="382"/>
      <c r="H22" s="877">
        <f t="shared" si="25"/>
        <v>240000</v>
      </c>
      <c r="I22" s="878"/>
      <c r="J22" s="415" t="e">
        <f>40000*#REF!</f>
        <v>#REF!</v>
      </c>
      <c r="K22" s="879" t="e">
        <f t="shared" si="26"/>
        <v>#REF!</v>
      </c>
      <c r="L22" s="880"/>
      <c r="V22" s="412"/>
      <c r="W22" s="412"/>
      <c r="X22" s="412"/>
      <c r="Y22" s="412"/>
      <c r="Z22" s="411"/>
      <c r="AA22" s="411"/>
      <c r="AB22" s="412"/>
      <c r="AC22" s="412"/>
      <c r="AD22" s="412"/>
      <c r="AE22" s="413"/>
      <c r="AF22" s="413"/>
    </row>
    <row r="23" spans="1:32" ht="27" customHeight="1" hidden="1">
      <c r="A23" s="414">
        <v>7</v>
      </c>
      <c r="B23" s="382" t="s">
        <v>364</v>
      </c>
      <c r="C23" s="416"/>
      <c r="D23" s="416"/>
      <c r="E23" s="382">
        <v>1</v>
      </c>
      <c r="F23" s="382"/>
      <c r="G23" s="382"/>
      <c r="H23" s="877">
        <f t="shared" si="25"/>
        <v>240000</v>
      </c>
      <c r="I23" s="878"/>
      <c r="J23" s="415" t="e">
        <f>40000*#REF!</f>
        <v>#REF!</v>
      </c>
      <c r="K23" s="879" t="e">
        <f t="shared" si="26"/>
        <v>#REF!</v>
      </c>
      <c r="L23" s="880"/>
      <c r="V23" s="417"/>
      <c r="W23" s="417"/>
      <c r="X23" s="417"/>
      <c r="Y23" s="417"/>
      <c r="Z23" s="418"/>
      <c r="AA23" s="418"/>
      <c r="AB23" s="418"/>
      <c r="AC23" s="418"/>
      <c r="AD23" s="418"/>
      <c r="AE23" s="418"/>
      <c r="AF23" s="418"/>
    </row>
    <row r="24" spans="1:32" ht="27" customHeight="1" hidden="1">
      <c r="A24" s="414">
        <v>8</v>
      </c>
      <c r="B24" s="419" t="s">
        <v>364</v>
      </c>
      <c r="C24" s="419"/>
      <c r="D24" s="420"/>
      <c r="E24" s="421"/>
      <c r="F24" s="421"/>
      <c r="G24" s="421"/>
      <c r="H24" s="877">
        <f t="shared" si="25"/>
        <v>240000</v>
      </c>
      <c r="I24" s="878"/>
      <c r="J24" s="415" t="e">
        <f>40000*#REF!</f>
        <v>#REF!</v>
      </c>
      <c r="K24" s="879" t="e">
        <f t="shared" si="26"/>
        <v>#REF!</v>
      </c>
      <c r="L24" s="880"/>
      <c r="V24" s="417"/>
      <c r="W24" s="417"/>
      <c r="X24" s="417"/>
      <c r="Y24" s="417"/>
      <c r="Z24" s="418"/>
      <c r="AA24" s="418"/>
      <c r="AB24" s="418"/>
      <c r="AC24" s="418"/>
      <c r="AD24" s="418"/>
      <c r="AE24" s="418"/>
      <c r="AF24" s="418"/>
    </row>
    <row r="25" spans="1:32" ht="27" customHeight="1" hidden="1">
      <c r="A25" s="414">
        <v>8</v>
      </c>
      <c r="B25" s="419" t="s">
        <v>364</v>
      </c>
      <c r="C25" s="419"/>
      <c r="D25" s="420"/>
      <c r="E25" s="421"/>
      <c r="F25" s="421"/>
      <c r="G25" s="421"/>
      <c r="H25" s="877">
        <f t="shared" si="25"/>
        <v>240000</v>
      </c>
      <c r="I25" s="878"/>
      <c r="J25" s="415" t="e">
        <f>40000*#REF!</f>
        <v>#REF!</v>
      </c>
      <c r="K25" s="879" t="e">
        <f t="shared" si="26"/>
        <v>#REF!</v>
      </c>
      <c r="L25" s="880"/>
      <c r="V25" s="417"/>
      <c r="W25" s="417"/>
      <c r="X25" s="417"/>
      <c r="Y25" s="417"/>
      <c r="Z25" s="418"/>
      <c r="AA25" s="418"/>
      <c r="AB25" s="418"/>
      <c r="AC25" s="418"/>
      <c r="AD25" s="418"/>
      <c r="AE25" s="418"/>
      <c r="AF25" s="418"/>
    </row>
    <row r="26" spans="1:32" ht="27" customHeight="1" hidden="1">
      <c r="A26" s="414">
        <v>8</v>
      </c>
      <c r="B26" s="419" t="s">
        <v>364</v>
      </c>
      <c r="C26" s="419"/>
      <c r="D26" s="420"/>
      <c r="E26" s="421"/>
      <c r="F26" s="421"/>
      <c r="G26" s="421"/>
      <c r="H26" s="877">
        <f>80000*2</f>
        <v>160000</v>
      </c>
      <c r="I26" s="878"/>
      <c r="J26" s="415" t="e">
        <f>40000*#REF!</f>
        <v>#REF!</v>
      </c>
      <c r="K26" s="879" t="e">
        <f t="shared" si="26"/>
        <v>#REF!</v>
      </c>
      <c r="L26" s="880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</row>
    <row r="27" spans="1:32" ht="27" customHeight="1" hidden="1">
      <c r="A27" s="414">
        <v>8</v>
      </c>
      <c r="B27" s="419" t="s">
        <v>364</v>
      </c>
      <c r="C27" s="419"/>
      <c r="D27" s="420"/>
      <c r="E27" s="421"/>
      <c r="F27" s="421"/>
      <c r="G27" s="421"/>
      <c r="H27" s="877">
        <f>80000*2</f>
        <v>160000</v>
      </c>
      <c r="I27" s="878"/>
      <c r="J27" s="415" t="e">
        <f>40000*#REF!</f>
        <v>#REF!</v>
      </c>
      <c r="K27" s="879" t="e">
        <f t="shared" si="26"/>
        <v>#REF!</v>
      </c>
      <c r="L27" s="880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</row>
    <row r="28" spans="1:32" ht="27" customHeight="1" hidden="1">
      <c r="A28" s="414">
        <v>9</v>
      </c>
      <c r="B28" s="419" t="s">
        <v>364</v>
      </c>
      <c r="C28" s="419"/>
      <c r="D28" s="420"/>
      <c r="E28" s="421"/>
      <c r="F28" s="421"/>
      <c r="G28" s="421"/>
      <c r="H28" s="877">
        <f>80000*1</f>
        <v>80000</v>
      </c>
      <c r="I28" s="878"/>
      <c r="J28" s="415" t="e">
        <f>40000*#REF!</f>
        <v>#REF!</v>
      </c>
      <c r="K28" s="879" t="e">
        <f t="shared" si="26"/>
        <v>#REF!</v>
      </c>
      <c r="L28" s="880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</row>
    <row r="29" spans="1:32" ht="27" customHeight="1" hidden="1">
      <c r="A29" s="414">
        <v>8</v>
      </c>
      <c r="B29" s="382" t="s">
        <v>365</v>
      </c>
      <c r="C29" s="422"/>
      <c r="D29" s="422"/>
      <c r="E29" s="382">
        <v>1</v>
      </c>
      <c r="F29" s="419"/>
      <c r="G29" s="419"/>
      <c r="H29" s="877">
        <f t="shared" si="25"/>
        <v>240000</v>
      </c>
      <c r="I29" s="878"/>
      <c r="J29" s="385"/>
      <c r="K29" s="881">
        <f t="shared" si="26"/>
        <v>240000</v>
      </c>
      <c r="L29" s="882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</row>
    <row r="30" spans="1:32" ht="27" customHeight="1" hidden="1" thickBot="1">
      <c r="A30" s="414">
        <v>9</v>
      </c>
      <c r="B30" s="382" t="s">
        <v>366</v>
      </c>
      <c r="C30" s="382"/>
      <c r="D30" s="382"/>
      <c r="E30" s="382">
        <v>3</v>
      </c>
      <c r="F30" s="419"/>
      <c r="G30" s="419"/>
      <c r="H30" s="464">
        <f t="shared" si="25"/>
        <v>240000</v>
      </c>
      <c r="I30" s="465"/>
      <c r="J30" s="385"/>
      <c r="K30" s="466">
        <f t="shared" si="26"/>
        <v>240000</v>
      </c>
      <c r="L30" s="467"/>
      <c r="V30" s="423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</row>
    <row r="31" spans="1:12" ht="14.25" hidden="1">
      <c r="A31" s="414">
        <v>10</v>
      </c>
      <c r="B31" s="382" t="s">
        <v>367</v>
      </c>
      <c r="C31" s="382"/>
      <c r="D31" s="382"/>
      <c r="E31" s="382">
        <v>1</v>
      </c>
      <c r="F31" s="382"/>
      <c r="G31" s="382"/>
      <c r="H31" s="415">
        <f t="shared" si="25"/>
        <v>240000</v>
      </c>
      <c r="I31" s="415"/>
      <c r="J31" s="385" t="e">
        <f>40000*#REF!</f>
        <v>#REF!</v>
      </c>
      <c r="K31" s="468" t="e">
        <f t="shared" si="26"/>
        <v>#REF!</v>
      </c>
      <c r="L31" s="469"/>
    </row>
    <row r="32" spans="1:12" ht="14.25" hidden="1">
      <c r="A32" s="414">
        <v>11</v>
      </c>
      <c r="B32" s="382" t="s">
        <v>368</v>
      </c>
      <c r="C32" s="382"/>
      <c r="D32" s="382"/>
      <c r="E32" s="382">
        <v>3</v>
      </c>
      <c r="F32" s="382"/>
      <c r="G32" s="382"/>
      <c r="H32" s="415">
        <f t="shared" si="25"/>
        <v>240000</v>
      </c>
      <c r="I32" s="415"/>
      <c r="J32" s="385" t="e">
        <f>40000*#REF!</f>
        <v>#REF!</v>
      </c>
      <c r="K32" s="468" t="e">
        <f t="shared" si="26"/>
        <v>#REF!</v>
      </c>
      <c r="L32" s="469"/>
    </row>
    <row r="33" spans="1:12" ht="15" hidden="1" thickBot="1">
      <c r="A33" s="424" t="s">
        <v>362</v>
      </c>
      <c r="B33" s="425"/>
      <c r="C33" s="425"/>
      <c r="D33" s="426"/>
      <c r="E33" s="426"/>
      <c r="F33" s="426"/>
      <c r="G33" s="426"/>
      <c r="H33" s="427">
        <f>SUM(H18:H32)</f>
        <v>30286000</v>
      </c>
      <c r="I33" s="427"/>
      <c r="J33" s="428" t="e">
        <f>SUM(J18:J32)</f>
        <v>#REF!</v>
      </c>
      <c r="K33" s="429" t="e">
        <f t="shared" si="26"/>
        <v>#REF!</v>
      </c>
      <c r="L33" s="430"/>
    </row>
    <row r="34" spans="1:31" ht="57" customHeight="1" hidden="1">
      <c r="A34" s="431"/>
      <c r="B34" s="431"/>
      <c r="C34" s="431"/>
      <c r="D34" s="432"/>
      <c r="E34" s="432"/>
      <c r="F34" s="432"/>
      <c r="G34" s="432"/>
      <c r="H34" s="433"/>
      <c r="I34" s="433"/>
      <c r="J34" s="434"/>
      <c r="K34" s="435"/>
      <c r="L34" s="435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</row>
    <row r="35" spans="1:31" ht="29.25" customHeight="1" hidden="1">
      <c r="A35" s="368" t="s">
        <v>369</v>
      </c>
      <c r="B35" s="368" t="s">
        <v>370</v>
      </c>
      <c r="E35" s="368" t="s">
        <v>371</v>
      </c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</row>
    <row r="36" spans="8:31" ht="14.25" hidden="1"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</row>
    <row r="37" spans="8:31" ht="14.25" hidden="1"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</row>
    <row r="38" spans="1:31" ht="14.25" hidden="1">
      <c r="A38" s="437">
        <v>1</v>
      </c>
      <c r="B38" s="437" t="s">
        <v>372</v>
      </c>
      <c r="C38" s="437"/>
      <c r="D38" s="437"/>
      <c r="E38" s="437">
        <v>9</v>
      </c>
      <c r="F38" s="437"/>
      <c r="G38" s="437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</row>
    <row r="39" spans="1:31" ht="14.25" hidden="1">
      <c r="A39" s="437">
        <v>2</v>
      </c>
      <c r="B39" s="437" t="s">
        <v>373</v>
      </c>
      <c r="C39" s="437"/>
      <c r="D39" s="437"/>
      <c r="E39" s="437">
        <v>14</v>
      </c>
      <c r="F39" s="437"/>
      <c r="G39" s="437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</row>
    <row r="40" spans="1:31" ht="14.25" hidden="1">
      <c r="A40" s="437">
        <v>3</v>
      </c>
      <c r="B40" s="437" t="s">
        <v>374</v>
      </c>
      <c r="C40" s="437"/>
      <c r="D40" s="437"/>
      <c r="E40" s="437">
        <v>7</v>
      </c>
      <c r="F40" s="437"/>
      <c r="G40" s="437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</row>
    <row r="41" spans="1:31" ht="14.25" hidden="1">
      <c r="A41" s="437">
        <v>4</v>
      </c>
      <c r="B41" s="437" t="s">
        <v>375</v>
      </c>
      <c r="C41" s="437"/>
      <c r="D41" s="437"/>
      <c r="E41" s="437">
        <v>3</v>
      </c>
      <c r="F41" s="437"/>
      <c r="G41" s="437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</row>
    <row r="42" spans="1:31" ht="14.25" hidden="1">
      <c r="A42" s="437">
        <v>5</v>
      </c>
      <c r="B42" s="437" t="s">
        <v>375</v>
      </c>
      <c r="C42" s="437"/>
      <c r="D42" s="437"/>
      <c r="E42" s="437">
        <v>10</v>
      </c>
      <c r="F42" s="437"/>
      <c r="G42" s="437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</row>
    <row r="43" spans="1:31" ht="14.25" hidden="1">
      <c r="A43" s="437">
        <v>6</v>
      </c>
      <c r="B43" s="437" t="s">
        <v>375</v>
      </c>
      <c r="C43" s="437"/>
      <c r="D43" s="437"/>
      <c r="E43" s="437">
        <v>3</v>
      </c>
      <c r="F43" s="437"/>
      <c r="G43" s="437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</row>
    <row r="44" spans="1:31" ht="14.25" hidden="1">
      <c r="A44" s="437">
        <v>7</v>
      </c>
      <c r="B44" s="437" t="s">
        <v>375</v>
      </c>
      <c r="C44" s="437"/>
      <c r="D44" s="437"/>
      <c r="E44" s="437">
        <v>3</v>
      </c>
      <c r="F44" s="437"/>
      <c r="G44" s="437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</row>
    <row r="45" spans="1:31" ht="14.25" hidden="1">
      <c r="A45" s="437">
        <v>8</v>
      </c>
      <c r="B45" s="437" t="s">
        <v>375</v>
      </c>
      <c r="C45" s="437"/>
      <c r="D45" s="437"/>
      <c r="E45" s="437">
        <v>3</v>
      </c>
      <c r="F45" s="437"/>
      <c r="G45" s="437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</row>
    <row r="46" spans="1:31" ht="14.25" hidden="1">
      <c r="A46" s="437">
        <v>9</v>
      </c>
      <c r="B46" s="437" t="s">
        <v>375</v>
      </c>
      <c r="C46" s="437"/>
      <c r="D46" s="437"/>
      <c r="E46" s="437">
        <v>4</v>
      </c>
      <c r="F46" s="437"/>
      <c r="G46" s="437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</row>
    <row r="47" spans="1:31" ht="14.25" hidden="1">
      <c r="A47" s="437">
        <v>10</v>
      </c>
      <c r="B47" s="437" t="s">
        <v>375</v>
      </c>
      <c r="C47" s="437"/>
      <c r="D47" s="437"/>
      <c r="E47" s="437">
        <v>1</v>
      </c>
      <c r="F47" s="437"/>
      <c r="G47" s="43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</row>
    <row r="48" spans="1:31" ht="14.25" hidden="1">
      <c r="A48" s="437">
        <v>11</v>
      </c>
      <c r="B48" s="437" t="s">
        <v>375</v>
      </c>
      <c r="C48" s="437"/>
      <c r="D48" s="437"/>
      <c r="E48" s="437">
        <v>3</v>
      </c>
      <c r="F48" s="437"/>
      <c r="G48" s="437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</row>
    <row r="49" spans="1:31" ht="14.25" hidden="1">
      <c r="A49" s="437"/>
      <c r="B49" s="437" t="s">
        <v>375</v>
      </c>
      <c r="C49" s="437"/>
      <c r="D49" s="437"/>
      <c r="E49" s="437">
        <v>5</v>
      </c>
      <c r="F49" s="437"/>
      <c r="G49" s="437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</row>
    <row r="50" spans="1:31" ht="14.25" hidden="1">
      <c r="A50" s="437">
        <v>12</v>
      </c>
      <c r="B50" s="437" t="s">
        <v>376</v>
      </c>
      <c r="C50" s="437"/>
      <c r="D50" s="437"/>
      <c r="E50" s="437">
        <v>1</v>
      </c>
      <c r="F50" s="437"/>
      <c r="G50" s="437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</row>
    <row r="51" spans="1:31" ht="14.25" hidden="1">
      <c r="A51" s="437">
        <v>13</v>
      </c>
      <c r="B51" s="437" t="s">
        <v>376</v>
      </c>
      <c r="C51" s="437"/>
      <c r="D51" s="437"/>
      <c r="E51" s="437">
        <v>1</v>
      </c>
      <c r="F51" s="437"/>
      <c r="G51" s="437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</row>
    <row r="52" spans="1:31" ht="14.25" hidden="1">
      <c r="A52" s="437"/>
      <c r="B52" s="437" t="s">
        <v>377</v>
      </c>
      <c r="C52" s="437"/>
      <c r="D52" s="437"/>
      <c r="E52" s="437">
        <v>1</v>
      </c>
      <c r="F52" s="437"/>
      <c r="G52" s="437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</row>
    <row r="53" spans="1:31" ht="14.25" hidden="1">
      <c r="A53" s="437">
        <v>14</v>
      </c>
      <c r="B53" s="437" t="s">
        <v>378</v>
      </c>
      <c r="C53" s="437"/>
      <c r="D53" s="437"/>
      <c r="E53" s="437">
        <v>4</v>
      </c>
      <c r="F53" s="437"/>
      <c r="G53" s="437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</row>
    <row r="54" spans="1:31" ht="14.25" hidden="1">
      <c r="A54" s="437">
        <v>15</v>
      </c>
      <c r="B54" s="437" t="s">
        <v>379</v>
      </c>
      <c r="C54" s="437"/>
      <c r="D54" s="437"/>
      <c r="E54" s="437">
        <v>1</v>
      </c>
      <c r="F54" s="437"/>
      <c r="G54" s="437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</row>
    <row r="55" spans="1:31" ht="14.25" hidden="1">
      <c r="A55" s="437">
        <v>16</v>
      </c>
      <c r="B55" s="437" t="s">
        <v>380</v>
      </c>
      <c r="C55" s="437"/>
      <c r="D55" s="437"/>
      <c r="E55" s="437">
        <v>5</v>
      </c>
      <c r="F55" s="437"/>
      <c r="G55" s="437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</row>
    <row r="56" spans="1:31" ht="14.25" hidden="1">
      <c r="A56" s="437">
        <v>17</v>
      </c>
      <c r="B56" s="437" t="s">
        <v>381</v>
      </c>
      <c r="C56" s="437"/>
      <c r="D56" s="437"/>
      <c r="E56" s="437">
        <v>5</v>
      </c>
      <c r="F56" s="437"/>
      <c r="G56" s="437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</row>
    <row r="57" spans="1:31" ht="14.25" hidden="1">
      <c r="A57" s="440" t="s">
        <v>382</v>
      </c>
      <c r="B57" s="440"/>
      <c r="C57" s="440"/>
      <c r="D57" s="440"/>
      <c r="E57" s="440"/>
      <c r="F57" s="440"/>
      <c r="G57" s="440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</row>
    <row r="58" spans="1:31" ht="23.25" customHeight="1" hidden="1">
      <c r="A58" s="442">
        <v>1</v>
      </c>
      <c r="B58" s="443" t="s">
        <v>372</v>
      </c>
      <c r="C58" s="443"/>
      <c r="D58" s="443"/>
      <c r="E58" s="443">
        <v>9</v>
      </c>
      <c r="F58" s="443"/>
      <c r="G58" s="443"/>
      <c r="H58" s="444"/>
      <c r="I58" s="444"/>
      <c r="J58" s="445"/>
      <c r="K58" s="444"/>
      <c r="L58" s="444"/>
      <c r="M58" s="444"/>
      <c r="N58" s="444"/>
      <c r="O58" s="445"/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5"/>
      <c r="AD58" s="445"/>
      <c r="AE58" s="446"/>
    </row>
    <row r="59" spans="1:31" ht="23.25" customHeight="1" hidden="1">
      <c r="A59" s="447">
        <v>2</v>
      </c>
      <c r="B59" s="437" t="s">
        <v>373</v>
      </c>
      <c r="C59" s="437"/>
      <c r="D59" s="437"/>
      <c r="E59" s="437">
        <v>14</v>
      </c>
      <c r="F59" s="437"/>
      <c r="G59" s="437"/>
      <c r="H59" s="439"/>
      <c r="I59" s="439"/>
      <c r="J59" s="448"/>
      <c r="K59" s="439"/>
      <c r="L59" s="439"/>
      <c r="M59" s="439"/>
      <c r="N59" s="439"/>
      <c r="O59" s="448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39"/>
      <c r="AA59" s="439"/>
      <c r="AB59" s="439"/>
      <c r="AC59" s="448"/>
      <c r="AD59" s="448"/>
      <c r="AE59" s="449"/>
    </row>
    <row r="60" spans="1:31" ht="23.25" customHeight="1" hidden="1">
      <c r="A60" s="447">
        <v>3</v>
      </c>
      <c r="B60" s="437" t="s">
        <v>374</v>
      </c>
      <c r="C60" s="437"/>
      <c r="D60" s="437"/>
      <c r="E60" s="437">
        <v>7</v>
      </c>
      <c r="F60" s="437"/>
      <c r="G60" s="437"/>
      <c r="H60" s="439"/>
      <c r="I60" s="439"/>
      <c r="J60" s="448"/>
      <c r="K60" s="439"/>
      <c r="L60" s="439"/>
      <c r="M60" s="439"/>
      <c r="N60" s="439"/>
      <c r="O60" s="448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48"/>
      <c r="AD60" s="448"/>
      <c r="AE60" s="449"/>
    </row>
    <row r="61" spans="1:31" ht="23.25" customHeight="1" hidden="1">
      <c r="A61" s="447">
        <v>4</v>
      </c>
      <c r="B61" s="437" t="s">
        <v>375</v>
      </c>
      <c r="C61" s="437"/>
      <c r="D61" s="437"/>
      <c r="E61" s="437">
        <v>3</v>
      </c>
      <c r="F61" s="437"/>
      <c r="G61" s="437"/>
      <c r="H61" s="439"/>
      <c r="I61" s="439"/>
      <c r="J61" s="448"/>
      <c r="K61" s="439"/>
      <c r="L61" s="439"/>
      <c r="M61" s="439"/>
      <c r="N61" s="439"/>
      <c r="O61" s="448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39"/>
      <c r="AA61" s="439"/>
      <c r="AB61" s="439"/>
      <c r="AC61" s="448"/>
      <c r="AD61" s="448"/>
      <c r="AE61" s="449"/>
    </row>
    <row r="62" spans="1:31" ht="23.25" customHeight="1" hidden="1">
      <c r="A62" s="447">
        <v>5</v>
      </c>
      <c r="B62" s="437" t="s">
        <v>375</v>
      </c>
      <c r="C62" s="437"/>
      <c r="D62" s="437"/>
      <c r="E62" s="437">
        <v>10</v>
      </c>
      <c r="F62" s="437"/>
      <c r="G62" s="437"/>
      <c r="H62" s="439"/>
      <c r="I62" s="439"/>
      <c r="J62" s="448"/>
      <c r="K62" s="439"/>
      <c r="L62" s="439"/>
      <c r="M62" s="439"/>
      <c r="N62" s="439"/>
      <c r="O62" s="448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39"/>
      <c r="AA62" s="439"/>
      <c r="AB62" s="439"/>
      <c r="AC62" s="448"/>
      <c r="AD62" s="448"/>
      <c r="AE62" s="449"/>
    </row>
    <row r="63" spans="1:31" ht="23.25" customHeight="1" hidden="1">
      <c r="A63" s="447">
        <v>6</v>
      </c>
      <c r="B63" s="437" t="s">
        <v>375</v>
      </c>
      <c r="C63" s="437"/>
      <c r="D63" s="437"/>
      <c r="E63" s="437">
        <v>3</v>
      </c>
      <c r="F63" s="437"/>
      <c r="G63" s="437"/>
      <c r="H63" s="439"/>
      <c r="I63" s="439"/>
      <c r="J63" s="448"/>
      <c r="K63" s="439"/>
      <c r="L63" s="439"/>
      <c r="M63" s="439"/>
      <c r="N63" s="439"/>
      <c r="O63" s="448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/>
      <c r="AC63" s="448"/>
      <c r="AD63" s="448"/>
      <c r="AE63" s="449"/>
    </row>
    <row r="64" spans="1:31" ht="23.25" customHeight="1" hidden="1">
      <c r="A64" s="447">
        <v>7</v>
      </c>
      <c r="B64" s="437" t="s">
        <v>375</v>
      </c>
      <c r="C64" s="437"/>
      <c r="D64" s="437"/>
      <c r="E64" s="437">
        <v>3</v>
      </c>
      <c r="F64" s="437"/>
      <c r="G64" s="437"/>
      <c r="H64" s="439"/>
      <c r="I64" s="439"/>
      <c r="J64" s="448"/>
      <c r="K64" s="439"/>
      <c r="L64" s="439"/>
      <c r="M64" s="439"/>
      <c r="N64" s="439"/>
      <c r="O64" s="448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48"/>
      <c r="AD64" s="448"/>
      <c r="AE64" s="449"/>
    </row>
    <row r="65" spans="1:31" ht="23.25" customHeight="1" hidden="1">
      <c r="A65" s="447">
        <v>8</v>
      </c>
      <c r="B65" s="437" t="s">
        <v>375</v>
      </c>
      <c r="C65" s="437"/>
      <c r="D65" s="437"/>
      <c r="E65" s="437">
        <v>3</v>
      </c>
      <c r="F65" s="437"/>
      <c r="G65" s="437"/>
      <c r="H65" s="439"/>
      <c r="I65" s="439"/>
      <c r="J65" s="448"/>
      <c r="K65" s="439"/>
      <c r="L65" s="439"/>
      <c r="M65" s="439"/>
      <c r="N65" s="439"/>
      <c r="O65" s="448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48"/>
      <c r="AD65" s="448"/>
      <c r="AE65" s="449"/>
    </row>
    <row r="66" spans="1:31" ht="23.25" customHeight="1" hidden="1">
      <c r="A66" s="447">
        <v>9</v>
      </c>
      <c r="B66" s="437" t="s">
        <v>375</v>
      </c>
      <c r="C66" s="437"/>
      <c r="D66" s="437"/>
      <c r="E66" s="437">
        <v>4</v>
      </c>
      <c r="F66" s="437"/>
      <c r="G66" s="437"/>
      <c r="H66" s="439"/>
      <c r="I66" s="439"/>
      <c r="J66" s="448"/>
      <c r="K66" s="439"/>
      <c r="L66" s="439"/>
      <c r="M66" s="439"/>
      <c r="N66" s="439"/>
      <c r="O66" s="448"/>
      <c r="P66" s="439"/>
      <c r="Q66" s="439"/>
      <c r="R66" s="439"/>
      <c r="S66" s="439"/>
      <c r="T66" s="439"/>
      <c r="U66" s="439"/>
      <c r="V66" s="439"/>
      <c r="W66" s="439"/>
      <c r="X66" s="439"/>
      <c r="Y66" s="439"/>
      <c r="Z66" s="439"/>
      <c r="AA66" s="439"/>
      <c r="AB66" s="439"/>
      <c r="AC66" s="448"/>
      <c r="AD66" s="448"/>
      <c r="AE66" s="449"/>
    </row>
    <row r="67" spans="1:31" ht="23.25" customHeight="1" hidden="1">
      <c r="A67" s="447">
        <v>10</v>
      </c>
      <c r="B67" s="437" t="s">
        <v>375</v>
      </c>
      <c r="C67" s="437"/>
      <c r="D67" s="437"/>
      <c r="E67" s="437">
        <v>1</v>
      </c>
      <c r="F67" s="437"/>
      <c r="G67" s="437"/>
      <c r="H67" s="439"/>
      <c r="I67" s="439"/>
      <c r="J67" s="448"/>
      <c r="K67" s="439"/>
      <c r="L67" s="439"/>
      <c r="M67" s="439"/>
      <c r="N67" s="439"/>
      <c r="O67" s="448"/>
      <c r="P67" s="439"/>
      <c r="Q67" s="439"/>
      <c r="R67" s="439"/>
      <c r="S67" s="439"/>
      <c r="T67" s="439"/>
      <c r="U67" s="439"/>
      <c r="V67" s="439"/>
      <c r="W67" s="439"/>
      <c r="X67" s="439"/>
      <c r="Y67" s="439"/>
      <c r="Z67" s="439"/>
      <c r="AA67" s="439"/>
      <c r="AB67" s="439"/>
      <c r="AC67" s="448"/>
      <c r="AD67" s="448"/>
      <c r="AE67" s="449"/>
    </row>
    <row r="68" spans="1:31" ht="23.25" customHeight="1" hidden="1">
      <c r="A68" s="447">
        <v>11</v>
      </c>
      <c r="B68" s="437" t="s">
        <v>375</v>
      </c>
      <c r="C68" s="437"/>
      <c r="D68" s="437"/>
      <c r="E68" s="437">
        <v>3</v>
      </c>
      <c r="F68" s="437"/>
      <c r="G68" s="437"/>
      <c r="H68" s="439"/>
      <c r="I68" s="439"/>
      <c r="J68" s="448"/>
      <c r="K68" s="439"/>
      <c r="L68" s="439"/>
      <c r="M68" s="439"/>
      <c r="N68" s="439"/>
      <c r="O68" s="448"/>
      <c r="P68" s="439"/>
      <c r="Q68" s="439"/>
      <c r="R68" s="439"/>
      <c r="S68" s="439"/>
      <c r="T68" s="439"/>
      <c r="U68" s="439"/>
      <c r="V68" s="439"/>
      <c r="W68" s="439"/>
      <c r="X68" s="439"/>
      <c r="Y68" s="439"/>
      <c r="Z68" s="439"/>
      <c r="AA68" s="439"/>
      <c r="AB68" s="439"/>
      <c r="AC68" s="448"/>
      <c r="AD68" s="448"/>
      <c r="AE68" s="449"/>
    </row>
    <row r="69" spans="1:31" ht="23.25" customHeight="1" hidden="1">
      <c r="A69" s="447">
        <v>12</v>
      </c>
      <c r="B69" s="437" t="s">
        <v>375</v>
      </c>
      <c r="C69" s="437"/>
      <c r="D69" s="437"/>
      <c r="E69" s="437">
        <v>1</v>
      </c>
      <c r="F69" s="437"/>
      <c r="G69" s="437"/>
      <c r="H69" s="439"/>
      <c r="I69" s="439"/>
      <c r="J69" s="448"/>
      <c r="K69" s="439"/>
      <c r="L69" s="439"/>
      <c r="M69" s="439"/>
      <c r="N69" s="439"/>
      <c r="O69" s="448"/>
      <c r="P69" s="439"/>
      <c r="Q69" s="439"/>
      <c r="R69" s="439"/>
      <c r="S69" s="439"/>
      <c r="T69" s="439"/>
      <c r="U69" s="439"/>
      <c r="V69" s="439"/>
      <c r="W69" s="439"/>
      <c r="X69" s="439"/>
      <c r="Y69" s="439"/>
      <c r="Z69" s="439"/>
      <c r="AA69" s="439"/>
      <c r="AB69" s="439"/>
      <c r="AC69" s="448"/>
      <c r="AD69" s="448"/>
      <c r="AE69" s="449"/>
    </row>
    <row r="70" spans="1:31" ht="23.25" customHeight="1" hidden="1">
      <c r="A70" s="447">
        <v>13</v>
      </c>
      <c r="B70" s="437" t="s">
        <v>375</v>
      </c>
      <c r="C70" s="437"/>
      <c r="D70" s="437"/>
      <c r="E70" s="437">
        <v>4</v>
      </c>
      <c r="F70" s="437"/>
      <c r="G70" s="437"/>
      <c r="H70" s="439"/>
      <c r="I70" s="439"/>
      <c r="J70" s="448"/>
      <c r="K70" s="439"/>
      <c r="L70" s="439"/>
      <c r="M70" s="439"/>
      <c r="N70" s="439"/>
      <c r="O70" s="448"/>
      <c r="P70" s="439"/>
      <c r="Q70" s="439"/>
      <c r="R70" s="439"/>
      <c r="S70" s="439"/>
      <c r="T70" s="439"/>
      <c r="U70" s="439"/>
      <c r="V70" s="439"/>
      <c r="W70" s="439"/>
      <c r="X70" s="439"/>
      <c r="Y70" s="439"/>
      <c r="Z70" s="439"/>
      <c r="AA70" s="439"/>
      <c r="AB70" s="439"/>
      <c r="AC70" s="448"/>
      <c r="AD70" s="448"/>
      <c r="AE70" s="449"/>
    </row>
    <row r="71" spans="1:31" ht="23.25" customHeight="1" hidden="1">
      <c r="A71" s="447">
        <v>14</v>
      </c>
      <c r="B71" s="437" t="s">
        <v>375</v>
      </c>
      <c r="C71" s="437"/>
      <c r="D71" s="437"/>
      <c r="E71" s="437">
        <v>5</v>
      </c>
      <c r="F71" s="437"/>
      <c r="G71" s="437"/>
      <c r="H71" s="439"/>
      <c r="I71" s="439"/>
      <c r="J71" s="448"/>
      <c r="K71" s="439"/>
      <c r="L71" s="439"/>
      <c r="M71" s="439"/>
      <c r="N71" s="439"/>
      <c r="O71" s="448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48"/>
      <c r="AD71" s="448"/>
      <c r="AE71" s="449"/>
    </row>
    <row r="72" spans="1:31" ht="23.25" customHeight="1" hidden="1">
      <c r="A72" s="447">
        <v>15</v>
      </c>
      <c r="B72" s="437" t="s">
        <v>376</v>
      </c>
      <c r="C72" s="437"/>
      <c r="D72" s="437"/>
      <c r="E72" s="437">
        <v>1</v>
      </c>
      <c r="F72" s="437"/>
      <c r="G72" s="437"/>
      <c r="H72" s="439"/>
      <c r="I72" s="439"/>
      <c r="J72" s="448"/>
      <c r="K72" s="439"/>
      <c r="L72" s="439"/>
      <c r="M72" s="439"/>
      <c r="N72" s="439"/>
      <c r="O72" s="448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48"/>
      <c r="AD72" s="448"/>
      <c r="AE72" s="449"/>
    </row>
    <row r="73" spans="1:31" ht="23.25" customHeight="1" hidden="1">
      <c r="A73" s="447">
        <v>16</v>
      </c>
      <c r="B73" s="437" t="s">
        <v>376</v>
      </c>
      <c r="C73" s="437"/>
      <c r="D73" s="437"/>
      <c r="E73" s="437">
        <v>1</v>
      </c>
      <c r="F73" s="437"/>
      <c r="G73" s="437"/>
      <c r="H73" s="439"/>
      <c r="I73" s="439"/>
      <c r="J73" s="448"/>
      <c r="K73" s="439"/>
      <c r="L73" s="439"/>
      <c r="M73" s="439"/>
      <c r="N73" s="439"/>
      <c r="O73" s="448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48"/>
      <c r="AD73" s="448"/>
      <c r="AE73" s="449"/>
    </row>
    <row r="74" spans="1:31" ht="23.25" customHeight="1" hidden="1">
      <c r="A74" s="447">
        <v>17</v>
      </c>
      <c r="B74" s="437" t="s">
        <v>377</v>
      </c>
      <c r="C74" s="437"/>
      <c r="D74" s="437"/>
      <c r="E74" s="437">
        <v>1</v>
      </c>
      <c r="F74" s="437"/>
      <c r="G74" s="437"/>
      <c r="H74" s="439"/>
      <c r="I74" s="439"/>
      <c r="J74" s="448"/>
      <c r="K74" s="439"/>
      <c r="L74" s="439"/>
      <c r="M74" s="439"/>
      <c r="N74" s="439"/>
      <c r="O74" s="448"/>
      <c r="P74" s="439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48"/>
      <c r="AD74" s="448"/>
      <c r="AE74" s="449"/>
    </row>
    <row r="75" spans="1:31" ht="23.25" customHeight="1" hidden="1">
      <c r="A75" s="447">
        <v>18</v>
      </c>
      <c r="B75" s="437" t="s">
        <v>378</v>
      </c>
      <c r="C75" s="437"/>
      <c r="D75" s="437"/>
      <c r="E75" s="437">
        <v>4</v>
      </c>
      <c r="F75" s="437"/>
      <c r="G75" s="437"/>
      <c r="H75" s="439"/>
      <c r="I75" s="439"/>
      <c r="J75" s="448"/>
      <c r="K75" s="439"/>
      <c r="L75" s="439"/>
      <c r="M75" s="439"/>
      <c r="N75" s="439"/>
      <c r="O75" s="448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48"/>
      <c r="AD75" s="448"/>
      <c r="AE75" s="449"/>
    </row>
    <row r="76" spans="1:31" ht="23.25" customHeight="1" hidden="1">
      <c r="A76" s="447">
        <v>19</v>
      </c>
      <c r="B76" s="437" t="s">
        <v>379</v>
      </c>
      <c r="C76" s="437"/>
      <c r="D76" s="437"/>
      <c r="E76" s="437">
        <v>1</v>
      </c>
      <c r="F76" s="437"/>
      <c r="G76" s="437"/>
      <c r="H76" s="439"/>
      <c r="I76" s="439"/>
      <c r="J76" s="448"/>
      <c r="K76" s="439"/>
      <c r="L76" s="439"/>
      <c r="M76" s="439"/>
      <c r="N76" s="439"/>
      <c r="O76" s="448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48"/>
      <c r="AD76" s="448"/>
      <c r="AE76" s="449"/>
    </row>
    <row r="77" spans="1:31" ht="23.25" customHeight="1" hidden="1">
      <c r="A77" s="447">
        <v>20</v>
      </c>
      <c r="B77" s="437" t="s">
        <v>380</v>
      </c>
      <c r="C77" s="437"/>
      <c r="D77" s="437"/>
      <c r="E77" s="437">
        <v>5</v>
      </c>
      <c r="F77" s="437"/>
      <c r="G77" s="437"/>
      <c r="H77" s="439"/>
      <c r="I77" s="439"/>
      <c r="J77" s="448"/>
      <c r="K77" s="439"/>
      <c r="L77" s="439"/>
      <c r="M77" s="439"/>
      <c r="N77" s="439"/>
      <c r="O77" s="448"/>
      <c r="P77" s="439"/>
      <c r="Q77" s="439"/>
      <c r="R77" s="439"/>
      <c r="S77" s="439"/>
      <c r="T77" s="439"/>
      <c r="U77" s="439"/>
      <c r="V77" s="439"/>
      <c r="W77" s="439"/>
      <c r="X77" s="439"/>
      <c r="Y77" s="439"/>
      <c r="Z77" s="439"/>
      <c r="AA77" s="439"/>
      <c r="AB77" s="439"/>
      <c r="AC77" s="448"/>
      <c r="AD77" s="448"/>
      <c r="AE77" s="449"/>
    </row>
    <row r="78" spans="1:31" ht="23.25" customHeight="1" hidden="1">
      <c r="A78" s="447"/>
      <c r="B78" s="437" t="s">
        <v>368</v>
      </c>
      <c r="C78" s="437"/>
      <c r="D78" s="437"/>
      <c r="E78" s="437">
        <v>5</v>
      </c>
      <c r="F78" s="437"/>
      <c r="G78" s="437"/>
      <c r="H78" s="439"/>
      <c r="I78" s="439"/>
      <c r="J78" s="448"/>
      <c r="K78" s="439"/>
      <c r="L78" s="439"/>
      <c r="M78" s="439"/>
      <c r="N78" s="439"/>
      <c r="O78" s="448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48"/>
      <c r="AD78" s="448"/>
      <c r="AE78" s="449"/>
    </row>
    <row r="79" spans="1:31" ht="23.25" customHeight="1" hidden="1">
      <c r="A79" s="447">
        <v>21</v>
      </c>
      <c r="B79" s="437" t="s">
        <v>383</v>
      </c>
      <c r="C79" s="437"/>
      <c r="D79" s="437"/>
      <c r="E79" s="437">
        <v>1</v>
      </c>
      <c r="F79" s="437"/>
      <c r="G79" s="437"/>
      <c r="H79" s="439"/>
      <c r="I79" s="439"/>
      <c r="J79" s="448"/>
      <c r="K79" s="439"/>
      <c r="L79" s="439"/>
      <c r="M79" s="439"/>
      <c r="N79" s="439"/>
      <c r="O79" s="448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48"/>
      <c r="AD79" s="448"/>
      <c r="AE79" s="449"/>
    </row>
    <row r="80" spans="1:31" ht="23.25" customHeight="1" hidden="1" thickBot="1">
      <c r="A80" s="450"/>
      <c r="B80" s="451"/>
      <c r="C80" s="451"/>
      <c r="D80" s="451"/>
      <c r="E80" s="451"/>
      <c r="F80" s="451"/>
      <c r="G80" s="451"/>
      <c r="H80" s="452"/>
      <c r="I80" s="452"/>
      <c r="J80" s="453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454"/>
    </row>
    <row r="81" spans="8:31" ht="14.25" hidden="1">
      <c r="H81" s="455"/>
      <c r="I81" s="455"/>
      <c r="J81" s="455"/>
      <c r="K81" s="455"/>
      <c r="L81" s="455"/>
      <c r="M81" s="455">
        <v>1393130</v>
      </c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5"/>
      <c r="AD81" s="455"/>
      <c r="AE81" s="455"/>
    </row>
    <row r="82" spans="13:30" ht="14.25" hidden="1">
      <c r="M82" s="368">
        <v>1434830</v>
      </c>
      <c r="AC82" s="456" t="s">
        <v>384</v>
      </c>
      <c r="AD82" s="368">
        <v>140000</v>
      </c>
    </row>
    <row r="83" spans="13:30" ht="14.25" hidden="1">
      <c r="M83" s="368">
        <v>1054520</v>
      </c>
      <c r="AC83" s="382" t="s">
        <v>385</v>
      </c>
      <c r="AD83" s="368">
        <v>140000</v>
      </c>
    </row>
    <row r="84" spans="13:30" ht="14.25" hidden="1">
      <c r="M84" s="368">
        <v>1282100</v>
      </c>
      <c r="AC84" s="456" t="s">
        <v>386</v>
      </c>
      <c r="AD84" s="368">
        <v>140000</v>
      </c>
    </row>
    <row r="85" spans="13:30" ht="14.25" hidden="1">
      <c r="M85" s="368">
        <v>1580520</v>
      </c>
      <c r="AC85" s="382" t="s">
        <v>387</v>
      </c>
      <c r="AD85" s="368">
        <v>140000</v>
      </c>
    </row>
    <row r="86" spans="13:30" ht="14.25" hidden="1">
      <c r="M86" s="368">
        <v>1282100</v>
      </c>
      <c r="AC86" s="382" t="s">
        <v>388</v>
      </c>
      <c r="AD86" s="368">
        <v>140000</v>
      </c>
    </row>
    <row r="87" spans="13:30" ht="14.25" hidden="1">
      <c r="M87" s="368">
        <v>1282100</v>
      </c>
      <c r="AC87" s="382" t="s">
        <v>389</v>
      </c>
      <c r="AD87" s="368">
        <v>140000</v>
      </c>
    </row>
    <row r="88" spans="13:30" ht="14.25" hidden="1">
      <c r="M88" s="368">
        <v>1282100</v>
      </c>
      <c r="AC88" s="456" t="s">
        <v>390</v>
      </c>
      <c r="AD88" s="368">
        <v>140000</v>
      </c>
    </row>
    <row r="89" spans="13:30" ht="14.25" hidden="1">
      <c r="M89" s="368">
        <v>1282100</v>
      </c>
      <c r="AC89" s="456" t="s">
        <v>391</v>
      </c>
      <c r="AD89" s="368">
        <v>140000</v>
      </c>
    </row>
    <row r="90" spans="13:30" ht="14.25" hidden="1">
      <c r="M90" s="368">
        <v>1171570</v>
      </c>
      <c r="AC90" s="382" t="s">
        <v>392</v>
      </c>
      <c r="AD90" s="368">
        <v>140000</v>
      </c>
    </row>
    <row r="91" spans="13:30" ht="14.25" hidden="1">
      <c r="M91" s="368">
        <v>1319210</v>
      </c>
      <c r="AC91" s="382" t="s">
        <v>393</v>
      </c>
      <c r="AD91" s="368">
        <v>140000</v>
      </c>
    </row>
    <row r="92" spans="13:30" ht="14.25" hidden="1">
      <c r="M92" s="368">
        <v>1319210</v>
      </c>
      <c r="AC92" s="456" t="s">
        <v>394</v>
      </c>
      <c r="AD92" s="368">
        <v>140000</v>
      </c>
    </row>
    <row r="93" spans="13:30" ht="14.25" hidden="1">
      <c r="M93" s="368">
        <v>1319210</v>
      </c>
      <c r="AC93" s="382" t="s">
        <v>395</v>
      </c>
      <c r="AD93" s="368">
        <v>140000</v>
      </c>
    </row>
    <row r="94" spans="13:30" ht="14.25" hidden="1">
      <c r="M94" s="368">
        <v>1065780</v>
      </c>
      <c r="AC94" s="382" t="s">
        <v>396</v>
      </c>
      <c r="AD94" s="368">
        <v>140000</v>
      </c>
    </row>
    <row r="95" spans="13:30" ht="14.25" hidden="1">
      <c r="M95" s="368">
        <v>1065780</v>
      </c>
      <c r="AC95" s="382" t="s">
        <v>397</v>
      </c>
      <c r="AD95" s="368">
        <v>100000</v>
      </c>
    </row>
    <row r="96" spans="13:30" ht="14.25" hidden="1">
      <c r="M96" s="368">
        <v>725450</v>
      </c>
      <c r="AC96" s="456" t="s">
        <v>398</v>
      </c>
      <c r="AD96" s="368">
        <v>100000</v>
      </c>
    </row>
    <row r="97" spans="13:30" ht="14.25" hidden="1">
      <c r="M97" s="368">
        <v>745040</v>
      </c>
      <c r="AC97" s="382" t="s">
        <v>399</v>
      </c>
      <c r="AD97" s="368">
        <v>100000</v>
      </c>
    </row>
    <row r="98" spans="13:30" ht="14.25" hidden="1">
      <c r="M98" s="368">
        <v>923890</v>
      </c>
      <c r="AC98" s="382" t="s">
        <v>400</v>
      </c>
      <c r="AD98" s="368">
        <v>100000</v>
      </c>
    </row>
    <row r="99" spans="13:30" ht="14.25" hidden="1">
      <c r="M99" s="368">
        <v>796290</v>
      </c>
      <c r="AC99" s="382" t="s">
        <v>401</v>
      </c>
      <c r="AD99" s="368">
        <v>140000</v>
      </c>
    </row>
    <row r="100" spans="29:30" ht="14.25" hidden="1">
      <c r="AC100" s="382" t="s">
        <v>402</v>
      </c>
      <c r="AD100" s="368">
        <v>140000</v>
      </c>
    </row>
    <row r="101" spans="25:31" ht="18.75" hidden="1">
      <c r="Y101" s="457">
        <f>Y18/3</f>
        <v>725250</v>
      </c>
      <c r="Z101" s="457">
        <f>Z18/3</f>
        <v>1186783.3333333333</v>
      </c>
      <c r="AB101" s="457">
        <f>AB18/3</f>
        <v>1028550</v>
      </c>
      <c r="AD101" s="458" t="s">
        <v>403</v>
      </c>
      <c r="AE101" s="459">
        <v>671880</v>
      </c>
    </row>
    <row r="102" spans="4:31" ht="18.75" hidden="1">
      <c r="D102" s="382"/>
      <c r="E102" s="382">
        <v>10</v>
      </c>
      <c r="F102" s="382"/>
      <c r="G102" s="382"/>
      <c r="H102" s="390">
        <v>3913987.5</v>
      </c>
      <c r="Y102" s="457">
        <f>Y101+Z101</f>
        <v>1912033.3333333333</v>
      </c>
      <c r="AC102" s="458">
        <v>12599940</v>
      </c>
      <c r="AD102" s="458" t="s">
        <v>404</v>
      </c>
      <c r="AE102" s="460">
        <f>AE18+AE101</f>
        <v>496529210</v>
      </c>
    </row>
    <row r="103" spans="4:29" ht="18.75" hidden="1">
      <c r="D103" s="461"/>
      <c r="E103" s="461">
        <v>16</v>
      </c>
      <c r="F103" s="461"/>
      <c r="G103" s="461"/>
      <c r="H103" s="390">
        <v>3934499.1666666665</v>
      </c>
      <c r="AC103" s="458">
        <v>11928060</v>
      </c>
    </row>
    <row r="104" spans="4:29" ht="18.75" hidden="1">
      <c r="D104" s="382"/>
      <c r="E104" s="382">
        <v>8</v>
      </c>
      <c r="F104" s="382"/>
      <c r="G104" s="382"/>
      <c r="H104" s="390">
        <v>2723992.5</v>
      </c>
      <c r="AC104" s="458">
        <f>AC102-AC103</f>
        <v>671880</v>
      </c>
    </row>
    <row r="105" spans="4:29" ht="14.25" hidden="1">
      <c r="D105" s="382"/>
      <c r="E105" s="382">
        <v>4</v>
      </c>
      <c r="F105" s="382"/>
      <c r="G105" s="382"/>
      <c r="H105" s="390">
        <v>2538250.8333333335</v>
      </c>
      <c r="AC105" s="368">
        <f>SUM(AC102:AC104)</f>
        <v>25199880</v>
      </c>
    </row>
    <row r="106" spans="4:8" ht="14.25" hidden="1">
      <c r="D106" s="382"/>
      <c r="E106" s="382">
        <v>11</v>
      </c>
      <c r="F106" s="382"/>
      <c r="G106" s="382"/>
      <c r="H106" s="390">
        <v>3180290.8333333335</v>
      </c>
    </row>
    <row r="107" spans="4:8" ht="14.25" hidden="1">
      <c r="D107" s="461"/>
      <c r="E107" s="461">
        <v>5</v>
      </c>
      <c r="F107" s="461"/>
      <c r="G107" s="461"/>
      <c r="H107" s="390">
        <v>2503188.3333333335</v>
      </c>
    </row>
    <row r="108" spans="4:8" ht="14.25" hidden="1">
      <c r="D108" s="382"/>
      <c r="E108" s="382">
        <v>4</v>
      </c>
      <c r="F108" s="382"/>
      <c r="G108" s="382"/>
      <c r="H108" s="390">
        <v>2479313.3333333335</v>
      </c>
    </row>
    <row r="109" spans="4:8" ht="14.25" hidden="1">
      <c r="D109" s="382"/>
      <c r="E109" s="382">
        <v>4</v>
      </c>
      <c r="F109" s="382"/>
      <c r="G109" s="382"/>
      <c r="H109" s="390">
        <v>2487888.3333333335</v>
      </c>
    </row>
    <row r="110" spans="4:8" ht="14.25" hidden="1">
      <c r="D110" s="461"/>
      <c r="E110" s="461">
        <v>2</v>
      </c>
      <c r="F110" s="461"/>
      <c r="G110" s="461"/>
      <c r="H110" s="390">
        <v>2198340</v>
      </c>
    </row>
    <row r="111" spans="4:8" ht="14.25" hidden="1">
      <c r="D111" s="382"/>
      <c r="E111" s="382">
        <v>5</v>
      </c>
      <c r="F111" s="382"/>
      <c r="G111" s="382"/>
      <c r="H111" s="390">
        <v>2494862.222222222</v>
      </c>
    </row>
    <row r="112" spans="4:8" ht="14.25" hidden="1">
      <c r="D112" s="461"/>
      <c r="E112" s="461">
        <v>5</v>
      </c>
      <c r="F112" s="461"/>
      <c r="G112" s="461"/>
      <c r="H112" s="390"/>
    </row>
    <row r="113" spans="4:8" ht="14.25" hidden="1">
      <c r="D113" s="461"/>
      <c r="E113" s="461">
        <v>6</v>
      </c>
      <c r="F113" s="461"/>
      <c r="G113" s="461"/>
      <c r="H113" s="390">
        <v>2543281.8181818184</v>
      </c>
    </row>
    <row r="114" spans="4:8" ht="14.25" hidden="1">
      <c r="D114" s="422"/>
      <c r="E114" s="382">
        <v>5</v>
      </c>
      <c r="F114" s="382"/>
      <c r="G114" s="382"/>
      <c r="H114" s="390">
        <v>2640096</v>
      </c>
    </row>
    <row r="115" spans="4:8" ht="14.25" hidden="1">
      <c r="D115" s="422"/>
      <c r="E115" s="382">
        <v>5</v>
      </c>
      <c r="F115" s="382"/>
      <c r="G115" s="382"/>
      <c r="H115" s="397">
        <v>-2550000</v>
      </c>
    </row>
    <row r="116" spans="4:8" ht="14.25" hidden="1">
      <c r="D116" s="422"/>
      <c r="E116" s="382">
        <v>5</v>
      </c>
      <c r="F116" s="382"/>
      <c r="G116" s="382"/>
      <c r="H116" s="397">
        <v>2550000</v>
      </c>
    </row>
    <row r="117" spans="4:8" ht="14.25" hidden="1">
      <c r="D117" s="461"/>
      <c r="E117" s="461">
        <v>3</v>
      </c>
      <c r="F117" s="461"/>
      <c r="G117" s="461"/>
      <c r="H117" s="390">
        <v>2138820</v>
      </c>
    </row>
    <row r="118" spans="4:8" ht="14.25" hidden="1">
      <c r="D118" s="382"/>
      <c r="E118" s="382">
        <v>2</v>
      </c>
      <c r="F118" s="382"/>
      <c r="G118" s="382"/>
      <c r="H118" s="390">
        <v>2180663.75</v>
      </c>
    </row>
    <row r="119" spans="4:8" ht="14.25" hidden="1">
      <c r="D119" s="382"/>
      <c r="E119" s="382">
        <v>4</v>
      </c>
      <c r="F119" s="382"/>
      <c r="G119" s="382"/>
      <c r="H119" s="390">
        <v>1937414.5454545454</v>
      </c>
    </row>
    <row r="120" spans="4:8" ht="14.25" hidden="1">
      <c r="D120" s="382"/>
      <c r="E120" s="382">
        <v>2</v>
      </c>
      <c r="F120" s="382"/>
      <c r="G120" s="382"/>
      <c r="H120" s="390">
        <v>1988602.5</v>
      </c>
    </row>
    <row r="121" spans="4:8" ht="14.25" hidden="1">
      <c r="D121" s="461"/>
      <c r="E121" s="461">
        <v>6</v>
      </c>
      <c r="F121" s="461"/>
      <c r="G121" s="461"/>
      <c r="H121" s="390">
        <v>2064124.1666666667</v>
      </c>
    </row>
    <row r="122" spans="4:8" ht="14.25" hidden="1">
      <c r="D122" s="461"/>
      <c r="E122" s="461">
        <v>1</v>
      </c>
      <c r="F122" s="461"/>
      <c r="G122" s="461"/>
      <c r="H122" s="390">
        <v>2105024.4444444445</v>
      </c>
    </row>
    <row r="123" spans="4:8" ht="14.25" hidden="1">
      <c r="D123" s="461"/>
      <c r="E123" s="461">
        <v>2</v>
      </c>
      <c r="F123" s="461"/>
      <c r="G123" s="461"/>
      <c r="H123" s="390">
        <v>2105024.4444444445</v>
      </c>
    </row>
    <row r="124" ht="13.5" hidden="1">
      <c r="H124" s="457">
        <f>SUM(H102:H123)</f>
        <v>48157664.72474748</v>
      </c>
    </row>
    <row r="125" ht="13.5" hidden="1"/>
    <row r="126" ht="54" customHeight="1"/>
    <row r="127" spans="1:32" ht="14.25">
      <c r="A127" s="474">
        <v>4</v>
      </c>
      <c r="B127" s="380" t="s">
        <v>405</v>
      </c>
      <c r="C127" s="382" t="s">
        <v>354</v>
      </c>
      <c r="D127" s="382">
        <v>1</v>
      </c>
      <c r="E127" s="380">
        <v>1</v>
      </c>
      <c r="F127" s="462">
        <v>2440000</v>
      </c>
      <c r="G127" s="463">
        <f aca="true" t="shared" si="27" ref="G127">ROUNDDOWN((F127*$G$3),-1)</f>
        <v>73200</v>
      </c>
      <c r="H127" s="384">
        <f aca="true" t="shared" si="28" ref="H127">INT((F127+G127)/1000)*1000</f>
        <v>2513000</v>
      </c>
      <c r="I127" s="385">
        <v>12</v>
      </c>
      <c r="J127" s="386">
        <f>H127*I127</f>
        <v>30156000</v>
      </c>
      <c r="K127" s="387"/>
      <c r="L127" s="397"/>
      <c r="M127" s="387"/>
      <c r="N127" s="387"/>
      <c r="O127" s="388">
        <f aca="true" t="shared" si="29" ref="O127">SUM((K127:N127),)</f>
        <v>0</v>
      </c>
      <c r="P127" s="389">
        <f aca="true" t="shared" si="30" ref="P127">J127+O127</f>
        <v>30156000</v>
      </c>
      <c r="Q127" s="390">
        <f aca="true" t="shared" si="31" ref="Q127">(J127+O127)/12</f>
        <v>2513000</v>
      </c>
      <c r="R127" s="390">
        <f aca="true" t="shared" si="32" ref="R127">Q127*12</f>
        <v>30156000</v>
      </c>
      <c r="S127" s="390">
        <f>INT((Q127*0.045*I127)/10)*10</f>
        <v>1357020</v>
      </c>
      <c r="T127" s="390">
        <f aca="true" t="shared" si="33" ref="T127">P127/12</f>
        <v>2513000</v>
      </c>
      <c r="U127" s="387">
        <f>INT(T127*$U$3*(I127)/10)*10</f>
        <v>903170</v>
      </c>
      <c r="V127" s="387">
        <f>INT(U127*$V$3/10)*10</f>
        <v>59150</v>
      </c>
      <c r="W127" s="387">
        <f aca="true" t="shared" si="34" ref="W127:X127">S127</f>
        <v>1357020</v>
      </c>
      <c r="X127" s="391">
        <f t="shared" si="34"/>
        <v>2513000</v>
      </c>
      <c r="Y127" s="392">
        <f>INT((X127*$Y$3)*(I127)/10)*10</f>
        <v>165850</v>
      </c>
      <c r="Z127" s="393">
        <f>INT((X127*$Z$3)*(I127)/10)*10</f>
        <v>271400</v>
      </c>
      <c r="AA127" s="390">
        <f aca="true" t="shared" si="35" ref="AA127">X127</f>
        <v>2513000</v>
      </c>
      <c r="AB127" s="387">
        <f>ROUNDDOWN((AA127*$AB$3)*(I127),-1)</f>
        <v>235210</v>
      </c>
      <c r="AC127" s="394">
        <f aca="true" t="shared" si="36" ref="AC127">SUM(U127,V127,W127,Z127,AB127)</f>
        <v>2825950</v>
      </c>
      <c r="AD127" s="395">
        <f aca="true" t="shared" si="37" ref="AD127">INT(P127/12/10)*10</f>
        <v>2513000</v>
      </c>
      <c r="AE127" s="883">
        <f aca="true" t="shared" si="38" ref="AE127">P127+AC127+AD127</f>
        <v>35494950</v>
      </c>
      <c r="AF127" s="883"/>
    </row>
  </sheetData>
  <mergeCells count="56">
    <mergeCell ref="A1:AF1"/>
    <mergeCell ref="A2:A4"/>
    <mergeCell ref="B2:B4"/>
    <mergeCell ref="C2:C4"/>
    <mergeCell ref="D2:D4"/>
    <mergeCell ref="E2:E4"/>
    <mergeCell ref="H2:H4"/>
    <mergeCell ref="I2:I4"/>
    <mergeCell ref="J2:J4"/>
    <mergeCell ref="K2:O2"/>
    <mergeCell ref="K3:O3"/>
    <mergeCell ref="AE7:AF7"/>
    <mergeCell ref="P2:P4"/>
    <mergeCell ref="Q2:Q4"/>
    <mergeCell ref="S2:S4"/>
    <mergeCell ref="T2:T4"/>
    <mergeCell ref="U2:AC2"/>
    <mergeCell ref="AD2:AD4"/>
    <mergeCell ref="AE2:AF4"/>
    <mergeCell ref="AC3:AC4"/>
    <mergeCell ref="AE5:AF5"/>
    <mergeCell ref="AE6:AF6"/>
    <mergeCell ref="AE13:AF13"/>
    <mergeCell ref="AE14:AF14"/>
    <mergeCell ref="AE15:AF15"/>
    <mergeCell ref="AE16:AF16"/>
    <mergeCell ref="AE17:AF17"/>
    <mergeCell ref="AE8:AF8"/>
    <mergeCell ref="AE9:AF9"/>
    <mergeCell ref="AE10:AF10"/>
    <mergeCell ref="AE11:AF11"/>
    <mergeCell ref="AE12:AF12"/>
    <mergeCell ref="A18:E18"/>
    <mergeCell ref="H20:I20"/>
    <mergeCell ref="K20:L20"/>
    <mergeCell ref="H21:I21"/>
    <mergeCell ref="K21:L21"/>
    <mergeCell ref="H19:I19"/>
    <mergeCell ref="K19:L19"/>
    <mergeCell ref="H22:I22"/>
    <mergeCell ref="K22:L22"/>
    <mergeCell ref="H23:I23"/>
    <mergeCell ref="K23:L23"/>
    <mergeCell ref="H24:I24"/>
    <mergeCell ref="K24:L24"/>
    <mergeCell ref="H25:I25"/>
    <mergeCell ref="K25:L25"/>
    <mergeCell ref="H29:I29"/>
    <mergeCell ref="K29:L29"/>
    <mergeCell ref="AE127:AF127"/>
    <mergeCell ref="H26:I26"/>
    <mergeCell ref="K26:L26"/>
    <mergeCell ref="H27:I27"/>
    <mergeCell ref="K27:L27"/>
    <mergeCell ref="H28:I28"/>
    <mergeCell ref="K28:L28"/>
  </mergeCells>
  <printOptions/>
  <pageMargins left="0.47" right="0.1968503937007874" top="0.7480314960629921" bottom="0.2755905511811024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은혜원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경주온정마을</dc:creator>
  <cp:keywords/>
  <dc:description/>
  <cp:lastModifiedBy>박숙희</cp:lastModifiedBy>
  <cp:lastPrinted>2016-03-08T04:19:28Z</cp:lastPrinted>
  <dcterms:created xsi:type="dcterms:W3CDTF">2006-12-18T12:23:09Z</dcterms:created>
  <dcterms:modified xsi:type="dcterms:W3CDTF">2016-03-25T10:34:18Z</dcterms:modified>
  <cp:category/>
  <cp:version/>
  <cp:contentType/>
  <cp:contentStatus/>
</cp:coreProperties>
</file>