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30" yWindow="65446" windowWidth="14310" windowHeight="12390" firstSheet="1" activeTab="1"/>
  </bookViews>
  <sheets>
    <sheet name="표지" sheetId="2" state="hidden" r:id="rId1"/>
    <sheet name="총괄" sheetId="11" r:id="rId2"/>
    <sheet name="세입예산" sheetId="5" r:id="rId3"/>
    <sheet name="세출예산" sheetId="14" r:id="rId4"/>
    <sheet name="총인건비" sheetId="7" state="hidden" r:id="rId5"/>
    <sheet name="Sheet1" sheetId="13" state="hidden" r:id="rId6"/>
  </sheets>
  <definedNames>
    <definedName name="_xlnm.Print_Area" localSheetId="2">'세입예산'!$A$1:$X$101</definedName>
    <definedName name="_xlnm.Print_Area" localSheetId="3">'세출예산'!$A$1:$X$297</definedName>
    <definedName name="_xlnm.Print_Area" localSheetId="1">'총괄'!$A$1:$N$73</definedName>
    <definedName name="_xlnm.Print_Area" localSheetId="4">'총인건비'!$A$2:$O$78</definedName>
    <definedName name="_xlnm.Print_Area" localSheetId="0">'표지'!$A$1:$L$47</definedName>
    <definedName name="_xlnm.Print_Titles" localSheetId="1">'총괄'!$1:$5</definedName>
    <definedName name="_xlnm.Print_Titles" localSheetId="2">'세입예산'!$3:$3</definedName>
    <definedName name="_xlnm.Print_Titles" localSheetId="3">'세출예산'!$3:$3</definedName>
  </definedNames>
  <calcPr calcId="144525"/>
</workbook>
</file>

<file path=xl/comments4.xml><?xml version="1.0" encoding="utf-8"?>
<comments xmlns="http://schemas.openxmlformats.org/spreadsheetml/2006/main">
  <authors>
    <author>USER</author>
  </authors>
  <commentList>
    <comment ref="H87" authorId="0">
      <text>
        <r>
          <rPr>
            <b/>
            <sz val="9"/>
            <rFont val="돋움"/>
            <family val="3"/>
          </rPr>
          <t>보조금</t>
        </r>
        <r>
          <rPr>
            <b/>
            <sz val="9"/>
            <rFont val="Tahoma"/>
            <family val="2"/>
          </rPr>
          <t>(2,763,000)+</t>
        </r>
        <r>
          <rPr>
            <b/>
            <sz val="9"/>
            <rFont val="돋움"/>
            <family val="3"/>
          </rPr>
          <t>자부담</t>
        </r>
        <r>
          <rPr>
            <b/>
            <sz val="9"/>
            <rFont val="Tahoma"/>
            <family val="2"/>
          </rPr>
          <t>(1,000,000)+</t>
        </r>
        <r>
          <rPr>
            <b/>
            <sz val="9"/>
            <rFont val="돋움"/>
            <family val="3"/>
          </rPr>
          <t>잡수입</t>
        </r>
        <r>
          <rPr>
            <b/>
            <sz val="9"/>
            <rFont val="Tahoma"/>
            <family val="2"/>
          </rPr>
          <t xml:space="preserve">(1,500,000=5,263,000
</t>
        </r>
      </text>
    </comment>
    <comment ref="H100" authorId="0">
      <text>
        <r>
          <rPr>
            <b/>
            <sz val="9"/>
            <rFont val="돋움"/>
            <family val="3"/>
          </rPr>
          <t>보조금</t>
        </r>
        <r>
          <rPr>
            <b/>
            <sz val="9"/>
            <rFont val="Tahoma"/>
            <family val="2"/>
          </rPr>
          <t xml:space="preserve">(3,000,000)
</t>
        </r>
        <r>
          <rPr>
            <b/>
            <sz val="9"/>
            <rFont val="돋움"/>
            <family val="3"/>
          </rPr>
          <t>후원금</t>
        </r>
        <r>
          <rPr>
            <b/>
            <sz val="9"/>
            <rFont val="Tahoma"/>
            <family val="2"/>
          </rPr>
          <t>(2,000,000)</t>
        </r>
      </text>
    </comment>
    <comment ref="H110" authorId="0">
      <text>
        <r>
          <rPr>
            <b/>
            <sz val="9"/>
            <rFont val="돋움"/>
            <family val="3"/>
          </rPr>
          <t>자부담</t>
        </r>
        <r>
          <rPr>
            <b/>
            <sz val="9"/>
            <rFont val="Tahoma"/>
            <family val="2"/>
          </rPr>
          <t>(5,000,000)+</t>
        </r>
        <r>
          <rPr>
            <b/>
            <sz val="9"/>
            <rFont val="돋움"/>
            <family val="3"/>
          </rPr>
          <t>후원금</t>
        </r>
        <r>
          <rPr>
            <b/>
            <sz val="9"/>
            <rFont val="Tahoma"/>
            <family val="2"/>
          </rPr>
          <t>(5,000,000)=10,000,000</t>
        </r>
      </text>
    </comment>
    <comment ref="H119" authorId="0">
      <text>
        <r>
          <rPr>
            <b/>
            <sz val="9"/>
            <rFont val="돋움"/>
            <family val="3"/>
          </rPr>
          <t>생계비보조금</t>
        </r>
        <r>
          <rPr>
            <b/>
            <sz val="9"/>
            <rFont val="Tahoma"/>
            <family val="2"/>
          </rPr>
          <t>(53,654,400)+</t>
        </r>
        <r>
          <rPr>
            <b/>
            <sz val="9"/>
            <rFont val="돋움"/>
            <family val="3"/>
          </rPr>
          <t>자부담</t>
        </r>
        <r>
          <rPr>
            <b/>
            <sz val="9"/>
            <rFont val="Tahoma"/>
            <family val="2"/>
          </rPr>
          <t>(26,828,100)=80,482,500</t>
        </r>
      </text>
    </comment>
    <comment ref="H136" authorId="0">
      <text>
        <r>
          <rPr>
            <b/>
            <sz val="9"/>
            <rFont val="돋움"/>
            <family val="3"/>
          </rPr>
          <t>월동대책비</t>
        </r>
        <r>
          <rPr>
            <b/>
            <sz val="9"/>
            <rFont val="Tahoma"/>
            <family val="2"/>
          </rPr>
          <t>(695,440)+</t>
        </r>
        <r>
          <rPr>
            <b/>
            <sz val="9"/>
            <rFont val="돋움"/>
            <family val="3"/>
          </rPr>
          <t>생계비</t>
        </r>
        <r>
          <rPr>
            <b/>
            <sz val="9"/>
            <rFont val="Tahoma"/>
            <family val="2"/>
          </rPr>
          <t>(1,154,640)+</t>
        </r>
        <r>
          <rPr>
            <b/>
            <sz val="9"/>
            <rFont val="돋움"/>
            <family val="3"/>
          </rPr>
          <t>자부담</t>
        </r>
        <r>
          <rPr>
            <b/>
            <sz val="9"/>
            <rFont val="Tahoma"/>
            <family val="2"/>
          </rPr>
          <t>(400,000)=2,250,080</t>
        </r>
        <r>
          <rPr>
            <sz val="9"/>
            <rFont val="Tahoma"/>
            <family val="2"/>
          </rPr>
          <t xml:space="preserve">
</t>
        </r>
      </text>
    </comment>
    <comment ref="D138" authorId="0">
      <text>
        <r>
          <rPr>
            <b/>
            <sz val="9"/>
            <rFont val="돋움"/>
            <family val="3"/>
          </rPr>
          <t>보조금</t>
        </r>
        <r>
          <rPr>
            <b/>
            <sz val="9"/>
            <rFont val="Tahoma"/>
            <family val="2"/>
          </rPr>
          <t xml:space="preserve">(2,000,000)
</t>
        </r>
        <r>
          <rPr>
            <b/>
            <sz val="9"/>
            <rFont val="돋움"/>
            <family val="3"/>
          </rPr>
          <t>자부담</t>
        </r>
        <r>
          <rPr>
            <b/>
            <sz val="9"/>
            <rFont val="Tahoma"/>
            <family val="2"/>
          </rPr>
          <t xml:space="preserve">(700,000)
</t>
        </r>
      </text>
    </comment>
    <comment ref="H138" authorId="0">
      <text>
        <r>
          <rPr>
            <b/>
            <sz val="9"/>
            <rFont val="돋움"/>
            <family val="3"/>
          </rPr>
          <t>특별보조금</t>
        </r>
        <r>
          <rPr>
            <b/>
            <sz val="9"/>
            <rFont val="Tahoma"/>
            <family val="2"/>
          </rPr>
          <t>(600,000)+</t>
        </r>
        <r>
          <rPr>
            <b/>
            <sz val="9"/>
            <rFont val="돋움"/>
            <family val="3"/>
          </rPr>
          <t>보조금</t>
        </r>
        <r>
          <rPr>
            <b/>
            <sz val="9"/>
            <rFont val="Tahoma"/>
            <family val="2"/>
          </rPr>
          <t>(400,000)</t>
        </r>
        <r>
          <rPr>
            <b/>
            <sz val="9"/>
            <rFont val="Tahoma"/>
            <family val="2"/>
          </rPr>
          <t>=1,000,000</t>
        </r>
      </text>
    </comment>
    <comment ref="D155" authorId="0">
      <text>
        <r>
          <rPr>
            <b/>
            <sz val="9"/>
            <rFont val="돋움"/>
            <family val="3"/>
          </rPr>
          <t>보조금</t>
        </r>
        <r>
          <rPr>
            <b/>
            <sz val="9"/>
            <rFont val="Tahoma"/>
            <family val="2"/>
          </rPr>
          <t xml:space="preserve">(20,000,000)
</t>
        </r>
        <r>
          <rPr>
            <b/>
            <sz val="9"/>
            <rFont val="돋움"/>
            <family val="3"/>
          </rPr>
          <t>후원금</t>
        </r>
        <r>
          <rPr>
            <b/>
            <sz val="9"/>
            <rFont val="Tahoma"/>
            <family val="2"/>
          </rPr>
          <t>(10,000,000)</t>
        </r>
      </text>
    </comment>
    <comment ref="H156" authorId="0">
      <text>
        <r>
          <rPr>
            <b/>
            <sz val="9"/>
            <rFont val="돋움"/>
            <family val="3"/>
          </rPr>
          <t>보조금</t>
        </r>
        <r>
          <rPr>
            <b/>
            <sz val="9"/>
            <rFont val="Tahoma"/>
            <family val="2"/>
          </rPr>
          <t>(20,460,000)+</t>
        </r>
        <r>
          <rPr>
            <b/>
            <sz val="9"/>
            <rFont val="돋움"/>
            <family val="3"/>
          </rPr>
          <t>특별난방비</t>
        </r>
        <r>
          <rPr>
            <b/>
            <sz val="9"/>
            <rFont val="Tahoma"/>
            <family val="2"/>
          </rPr>
          <t xml:space="preserve">(1,500,000)+
</t>
        </r>
        <r>
          <rPr>
            <b/>
            <sz val="9"/>
            <rFont val="돋움"/>
            <family val="3"/>
          </rPr>
          <t>후원금</t>
        </r>
        <r>
          <rPr>
            <b/>
            <sz val="9"/>
            <rFont val="Tahoma"/>
            <family val="2"/>
          </rPr>
          <t>(10,000,000)=31,960,000</t>
        </r>
        <r>
          <rPr>
            <sz val="9"/>
            <rFont val="Tahoma"/>
            <family val="2"/>
          </rPr>
          <t xml:space="preserve">
</t>
        </r>
      </text>
    </comment>
    <comment ref="H177" authorId="0">
      <text>
        <r>
          <rPr>
            <b/>
            <sz val="9"/>
            <rFont val="돋움"/>
            <family val="3"/>
          </rPr>
          <t>싸이클외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돋움"/>
            <family val="3"/>
          </rPr>
          <t>종</t>
        </r>
      </text>
    </comment>
    <comment ref="D185" authorId="0">
      <text>
        <r>
          <rPr>
            <b/>
            <sz val="9"/>
            <rFont val="돋움"/>
            <family val="3"/>
          </rPr>
          <t>보조금</t>
        </r>
        <r>
          <rPr>
            <b/>
            <sz val="9"/>
            <rFont val="Tahoma"/>
            <family val="2"/>
          </rPr>
          <t xml:space="preserve">(2,830,000)
</t>
        </r>
        <r>
          <rPr>
            <b/>
            <sz val="9"/>
            <rFont val="돋움"/>
            <family val="3"/>
          </rPr>
          <t>자부담</t>
        </r>
        <r>
          <rPr>
            <b/>
            <sz val="9"/>
            <rFont val="Tahoma"/>
            <family val="2"/>
          </rPr>
          <t>(1,200,000)</t>
        </r>
      </text>
    </comment>
    <comment ref="D215" authorId="0">
      <text>
        <r>
          <rPr>
            <b/>
            <sz val="9"/>
            <rFont val="돋움"/>
            <family val="3"/>
          </rPr>
          <t>보조금</t>
        </r>
        <r>
          <rPr>
            <b/>
            <sz val="9"/>
            <rFont val="Tahoma"/>
            <family val="2"/>
          </rPr>
          <t xml:space="preserve">(1,000,000)
</t>
        </r>
        <r>
          <rPr>
            <b/>
            <sz val="9"/>
            <rFont val="돋움"/>
            <family val="3"/>
          </rPr>
          <t>자부담</t>
        </r>
        <r>
          <rPr>
            <b/>
            <sz val="9"/>
            <rFont val="Tahoma"/>
            <family val="2"/>
          </rPr>
          <t>(1,000,000)</t>
        </r>
      </text>
    </comment>
    <comment ref="H215" authorId="0">
      <text>
        <r>
          <rPr>
            <b/>
            <sz val="9"/>
            <rFont val="돋움"/>
            <family val="3"/>
          </rPr>
          <t>보조금</t>
        </r>
        <r>
          <rPr>
            <b/>
            <sz val="9"/>
            <rFont val="Tahoma"/>
            <family val="2"/>
          </rPr>
          <t>(1,720,700)+</t>
        </r>
        <r>
          <rPr>
            <b/>
            <sz val="9"/>
            <rFont val="돋움"/>
            <family val="3"/>
          </rPr>
          <t>자부담</t>
        </r>
        <r>
          <rPr>
            <b/>
            <sz val="9"/>
            <rFont val="Tahoma"/>
            <family val="2"/>
          </rPr>
          <t>(499,300)=2,220,000</t>
        </r>
      </text>
    </comment>
    <comment ref="H221" authorId="0">
      <text>
        <r>
          <rPr>
            <b/>
            <sz val="9"/>
            <rFont val="돋움"/>
            <family val="3"/>
          </rPr>
          <t>보조금</t>
        </r>
        <r>
          <rPr>
            <b/>
            <sz val="9"/>
            <rFont val="Tahoma"/>
            <family val="2"/>
          </rPr>
          <t>(79,000)+</t>
        </r>
        <r>
          <rPr>
            <b/>
            <sz val="9"/>
            <rFont val="돋움"/>
            <family val="3"/>
          </rPr>
          <t>자부담</t>
        </r>
        <r>
          <rPr>
            <b/>
            <sz val="9"/>
            <rFont val="Tahoma"/>
            <family val="2"/>
          </rPr>
          <t>(521,000)=600,000</t>
        </r>
      </text>
    </comment>
    <comment ref="D224" authorId="0">
      <text>
        <r>
          <rPr>
            <b/>
            <sz val="9"/>
            <rFont val="돋움"/>
            <family val="3"/>
          </rPr>
          <t>보조금</t>
        </r>
        <r>
          <rPr>
            <b/>
            <sz val="9"/>
            <rFont val="Tahoma"/>
            <family val="2"/>
          </rPr>
          <t xml:space="preserve">(1,500,000)
</t>
        </r>
        <r>
          <rPr>
            <b/>
            <sz val="9"/>
            <rFont val="돋움"/>
            <family val="3"/>
          </rPr>
          <t>후원금</t>
        </r>
        <r>
          <rPr>
            <b/>
            <sz val="9"/>
            <rFont val="Tahoma"/>
            <family val="2"/>
          </rPr>
          <t>(1,500,000)</t>
        </r>
      </text>
    </comment>
    <comment ref="H224" authorId="0">
      <text>
        <r>
          <rPr>
            <b/>
            <sz val="9"/>
            <rFont val="돋움"/>
            <family val="3"/>
          </rPr>
          <t>보조금</t>
        </r>
        <r>
          <rPr>
            <b/>
            <sz val="9"/>
            <rFont val="Tahoma"/>
            <family val="2"/>
          </rPr>
          <t xml:space="preserve">(1,950,000)+
</t>
        </r>
        <r>
          <rPr>
            <b/>
            <sz val="9"/>
            <rFont val="돋움"/>
            <family val="3"/>
          </rPr>
          <t>자부담</t>
        </r>
        <r>
          <rPr>
            <b/>
            <sz val="9"/>
            <rFont val="Tahoma"/>
            <family val="2"/>
          </rPr>
          <t>(450,000)=2,400,000</t>
        </r>
        <r>
          <rPr>
            <sz val="9"/>
            <rFont val="Tahoma"/>
            <family val="2"/>
          </rPr>
          <t xml:space="preserve">
</t>
        </r>
      </text>
    </comment>
    <comment ref="D243" authorId="0">
      <text>
        <r>
          <rPr>
            <b/>
            <sz val="9"/>
            <rFont val="돋움"/>
            <family val="3"/>
          </rPr>
          <t>보조금</t>
        </r>
        <r>
          <rPr>
            <b/>
            <sz val="9"/>
            <rFont val="Tahoma"/>
            <family val="2"/>
          </rPr>
          <t xml:space="preserve">(1,000,000)
</t>
        </r>
        <r>
          <rPr>
            <b/>
            <sz val="9"/>
            <rFont val="돋움"/>
            <family val="3"/>
          </rPr>
          <t>자부담</t>
        </r>
        <r>
          <rPr>
            <b/>
            <sz val="9"/>
            <rFont val="Tahoma"/>
            <family val="2"/>
          </rPr>
          <t>(1,448,000)</t>
        </r>
      </text>
    </comment>
    <comment ref="H296" authorId="0">
      <text>
        <r>
          <rPr>
            <b/>
            <sz val="9"/>
            <rFont val="돋움"/>
            <family val="3"/>
          </rPr>
          <t>전입금(3,000,000)+자부담(3,642,327)=6,642,327</t>
        </r>
      </text>
    </comment>
  </commentList>
</comments>
</file>

<file path=xl/sharedStrings.xml><?xml version="1.0" encoding="utf-8"?>
<sst xmlns="http://schemas.openxmlformats.org/spreadsheetml/2006/main" count="1611" uniqueCount="805">
  <si>
    <t>관</t>
  </si>
  <si>
    <t>항</t>
  </si>
  <si>
    <t>목</t>
  </si>
  <si>
    <t>×</t>
  </si>
  <si>
    <t>＝</t>
  </si>
  <si>
    <t>명</t>
  </si>
  <si>
    <t>회</t>
  </si>
  <si>
    <t>11.입소비용수입</t>
  </si>
  <si>
    <t>111.입소비용수입</t>
  </si>
  <si>
    <t>피복비</t>
  </si>
  <si>
    <t>세목</t>
  </si>
  <si>
    <t>1111. 입소비용수입</t>
  </si>
  <si>
    <t>41.경상보조금수입</t>
  </si>
  <si>
    <t>총         계</t>
  </si>
  <si>
    <t>구</t>
  </si>
  <si>
    <t>=</t>
  </si>
  <si>
    <t>회</t>
  </si>
  <si>
    <t>01.입소자부담금</t>
  </si>
  <si>
    <t>04.경상보조금수입</t>
  </si>
  <si>
    <t>05.후원금수입</t>
  </si>
  <si>
    <t>51.후원금수입</t>
  </si>
  <si>
    <t>511.지정후원금</t>
  </si>
  <si>
    <t>5111.지정후원금</t>
  </si>
  <si>
    <t>512.비지정후원금</t>
  </si>
  <si>
    <t>5121.비지정후원금</t>
  </si>
  <si>
    <t>08.전입금</t>
  </si>
  <si>
    <t>81.전입금</t>
  </si>
  <si>
    <t>8111.법인전입금</t>
  </si>
  <si>
    <t>09.이월금</t>
  </si>
  <si>
    <t>91.이월금</t>
  </si>
  <si>
    <t>911.전년도이월금</t>
  </si>
  <si>
    <t>9111.전년도이월금</t>
  </si>
  <si>
    <t>9112.지정후원이월금</t>
  </si>
  <si>
    <t>9113.비지정후원이월금</t>
  </si>
  <si>
    <t>07.차입금</t>
  </si>
  <si>
    <t>71.차입금</t>
  </si>
  <si>
    <t>7111.금융기관차입금</t>
  </si>
  <si>
    <t>7112.기타차입금</t>
  </si>
  <si>
    <t>711.금융기관차입금</t>
  </si>
  <si>
    <t>712.기타차입금</t>
  </si>
  <si>
    <t>1011.불용품매각대</t>
  </si>
  <si>
    <t>10111.불용품매각대</t>
  </si>
  <si>
    <t>1012.기타예금이자수입</t>
  </si>
  <si>
    <t>1013.기타잡수입</t>
  </si>
  <si>
    <t>10121.기타예금이자수입</t>
  </si>
  <si>
    <t>01.사무비</t>
  </si>
  <si>
    <t>11.인건비</t>
  </si>
  <si>
    <t>111.급여</t>
  </si>
  <si>
    <t>1111.급여</t>
  </si>
  <si>
    <t>06.부채상환금</t>
  </si>
  <si>
    <t>07.잡지출</t>
  </si>
  <si>
    <t>10132. 직원식대</t>
  </si>
  <si>
    <t>10131.기타잡수입</t>
  </si>
  <si>
    <t>03.사업비</t>
  </si>
  <si>
    <t>총   계</t>
  </si>
  <si>
    <t>01.입소자부담금수입</t>
  </si>
  <si>
    <t>01.사무비</t>
  </si>
  <si>
    <t>입소자부담금수입</t>
  </si>
  <si>
    <t>인건비</t>
  </si>
  <si>
    <t>급여</t>
  </si>
  <si>
    <t>04.보조금수입</t>
  </si>
  <si>
    <t>보조금수입</t>
  </si>
  <si>
    <t>제수당</t>
  </si>
  <si>
    <t>퇴직금및퇴직적립금</t>
  </si>
  <si>
    <t>사회보험부담비용</t>
  </si>
  <si>
    <t>05.후원금수입</t>
  </si>
  <si>
    <t>기타후생경비</t>
  </si>
  <si>
    <t>후원금수입</t>
  </si>
  <si>
    <t>업무추진비</t>
  </si>
  <si>
    <t>지정후원금</t>
  </si>
  <si>
    <t>기관운영비</t>
  </si>
  <si>
    <t>비지정후원금</t>
  </si>
  <si>
    <t>회의비</t>
  </si>
  <si>
    <t>운영비</t>
  </si>
  <si>
    <t>여 비</t>
  </si>
  <si>
    <t>수용비및수수료</t>
  </si>
  <si>
    <t>08.전입금</t>
  </si>
  <si>
    <t>공공요금</t>
  </si>
  <si>
    <t>전입금</t>
  </si>
  <si>
    <t>제세공과금</t>
  </si>
  <si>
    <t>법인전입금</t>
  </si>
  <si>
    <t>차량비</t>
  </si>
  <si>
    <t>09.이월금</t>
  </si>
  <si>
    <t>이월금</t>
  </si>
  <si>
    <t>시설비</t>
  </si>
  <si>
    <t>전년도이월금</t>
  </si>
  <si>
    <t>자산취득비</t>
  </si>
  <si>
    <t>시설장비유지비</t>
  </si>
  <si>
    <t>불용품매각대</t>
  </si>
  <si>
    <t>사업비</t>
  </si>
  <si>
    <t>기타예금이자수입</t>
  </si>
  <si>
    <t>생계비</t>
  </si>
  <si>
    <t>기타잡수입</t>
  </si>
  <si>
    <t>수용기관경비</t>
  </si>
  <si>
    <t>의료비</t>
  </si>
  <si>
    <t>장의비</t>
  </si>
  <si>
    <t>직업재활비</t>
  </si>
  <si>
    <t>자활사업비</t>
  </si>
  <si>
    <t>특별급식비</t>
  </si>
  <si>
    <t>연료비</t>
  </si>
  <si>
    <t>교육비</t>
  </si>
  <si>
    <t>학용품비</t>
  </si>
  <si>
    <t>도서구입비</t>
  </si>
  <si>
    <t>교통비</t>
  </si>
  <si>
    <t>수학여행비</t>
  </si>
  <si>
    <t>기타교육비</t>
  </si>
  <si>
    <t>의료재활사업비</t>
  </si>
  <si>
    <t>사회심리재활사업비</t>
  </si>
  <si>
    <t>교육재활사업비</t>
  </si>
  <si>
    <t>직업재활사업비</t>
  </si>
  <si>
    <t>지역사회자원관리사업비</t>
  </si>
  <si>
    <t>부채상환금</t>
  </si>
  <si>
    <t>원금상환금</t>
  </si>
  <si>
    <t>이자지불금</t>
  </si>
  <si>
    <t>잡지출</t>
  </si>
  <si>
    <t>예비비</t>
  </si>
  <si>
    <t>921.이월사업비</t>
  </si>
  <si>
    <t>9211.이월사업비</t>
  </si>
  <si>
    <t>신규</t>
  </si>
  <si>
    <t>증감</t>
  </si>
  <si>
    <t>05.보조금반환</t>
  </si>
  <si>
    <t>보조금반환</t>
  </si>
  <si>
    <t>보조금반환</t>
  </si>
  <si>
    <t>엘 림 소 망 의 집</t>
  </si>
  <si>
    <t>엘림소망의집</t>
  </si>
  <si>
    <t>증감</t>
  </si>
  <si>
    <t>(단위: 천원)</t>
  </si>
  <si>
    <t>(단위:천원)</t>
  </si>
  <si>
    <t>금액</t>
  </si>
  <si>
    <t>비율(%)</t>
  </si>
  <si>
    <t>비율(%)</t>
  </si>
  <si>
    <t>분기</t>
  </si>
  <si>
    <t>추석(9월)</t>
  </si>
  <si>
    <t xml:space="preserve">월동대책비 </t>
  </si>
  <si>
    <t>의료비(상비의약품)</t>
  </si>
  <si>
    <t xml:space="preserve">캠프활동지원비 </t>
  </si>
  <si>
    <t xml:space="preserve">특별난방비 </t>
  </si>
  <si>
    <t>기본급</t>
  </si>
  <si>
    <t>명절휴가비</t>
  </si>
  <si>
    <t>연장근로수당</t>
  </si>
  <si>
    <t>가족수당</t>
  </si>
  <si>
    <t>퇴직적립금</t>
  </si>
  <si>
    <t>국민연금보험</t>
  </si>
  <si>
    <t>지정후원금</t>
  </si>
  <si>
    <t>×</t>
  </si>
  <si>
    <t>=</t>
  </si>
  <si>
    <t>비지정후원금</t>
  </si>
  <si>
    <t>금융기관차입금</t>
  </si>
  <si>
    <t>기타차입금</t>
  </si>
  <si>
    <t>이월사업비</t>
  </si>
  <si>
    <t>불용품매각대</t>
  </si>
  <si>
    <t>기타예금이자수입</t>
  </si>
  <si>
    <t>장기요양보험</t>
  </si>
  <si>
    <t>국민건강보험</t>
  </si>
  <si>
    <t>배우자1인40,000 부양가족1인20,000기준</t>
  </si>
  <si>
    <t>09.예비비</t>
  </si>
  <si>
    <t>08.과년도지출</t>
  </si>
  <si>
    <t>과년도지출</t>
  </si>
  <si>
    <t>(차기이월금)</t>
  </si>
  <si>
    <t>2010년 월평균  직원 급여</t>
  </si>
  <si>
    <t>번호</t>
  </si>
  <si>
    <t>직 책</t>
  </si>
  <si>
    <t>성 명</t>
  </si>
  <si>
    <t>호 봉</t>
  </si>
  <si>
    <t>기본급</t>
  </si>
  <si>
    <t>개월</t>
  </si>
  <si>
    <t>기본급총액</t>
  </si>
  <si>
    <t>명절휴가비</t>
  </si>
  <si>
    <t>직책보조수당</t>
  </si>
  <si>
    <t>연장근로수당</t>
  </si>
  <si>
    <t>가족수당</t>
  </si>
  <si>
    <t>장려수당</t>
  </si>
  <si>
    <t>자격수당</t>
  </si>
  <si>
    <t>총    계</t>
  </si>
  <si>
    <t>월평균보수액</t>
  </si>
  <si>
    <t>국민건강</t>
  </si>
  <si>
    <t>장기요양</t>
  </si>
  <si>
    <t>국민연금</t>
  </si>
  <si>
    <t>고용보험</t>
  </si>
  <si>
    <t>식대비</t>
  </si>
  <si>
    <t>소득세</t>
  </si>
  <si>
    <t>공제계</t>
  </si>
  <si>
    <t>실수령액</t>
  </si>
  <si>
    <t>원장</t>
  </si>
  <si>
    <t>박세혁</t>
  </si>
  <si>
    <t>사회재활교사</t>
  </si>
  <si>
    <t>김춘희</t>
  </si>
  <si>
    <t>전상현</t>
  </si>
  <si>
    <t>생활지도원</t>
  </si>
  <si>
    <t>이원영</t>
  </si>
  <si>
    <t>김계주</t>
  </si>
  <si>
    <t>김극진</t>
  </si>
  <si>
    <t>김세현</t>
  </si>
  <si>
    <t>이종영</t>
  </si>
  <si>
    <t>오재흠</t>
  </si>
  <si>
    <t>생활재활교사</t>
  </si>
  <si>
    <t>김민지</t>
  </si>
  <si>
    <t>손성호</t>
  </si>
  <si>
    <t>박민지</t>
  </si>
  <si>
    <t>정동민</t>
  </si>
  <si>
    <t>조리원</t>
  </si>
  <si>
    <t>김봉란</t>
  </si>
  <si>
    <t>서숙재</t>
  </si>
  <si>
    <t>위생원</t>
  </si>
  <si>
    <t>정안순</t>
  </si>
  <si>
    <t>물리치료사</t>
  </si>
  <si>
    <t>간호원</t>
  </si>
  <si>
    <t>양은하</t>
  </si>
  <si>
    <t>사무원</t>
  </si>
  <si>
    <t>황효섭</t>
  </si>
  <si>
    <t>계</t>
  </si>
  <si>
    <t>인    건    비</t>
  </si>
  <si>
    <t>퇴  직  금</t>
  </si>
  <si>
    <t>국민건강보험료</t>
  </si>
  <si>
    <t>장기요양보험료</t>
  </si>
  <si>
    <t>국민연금보험료</t>
  </si>
  <si>
    <t>산재보험료</t>
  </si>
  <si>
    <t>고용보험료</t>
  </si>
  <si>
    <t>총 인건비</t>
  </si>
  <si>
    <t xml:space="preserve"> 관리운영비</t>
  </si>
  <si>
    <t>구분</t>
  </si>
  <si>
    <t>기준</t>
  </si>
  <si>
    <t>인원</t>
  </si>
  <si>
    <t>개월</t>
  </si>
  <si>
    <t>ㅡ</t>
  </si>
  <si>
    <t>년</t>
  </si>
  <si>
    <t xml:space="preserve"> 생 계 비</t>
  </si>
  <si>
    <t>주식,부식,연료비</t>
  </si>
  <si>
    <t>월</t>
  </si>
  <si>
    <t>피복비</t>
  </si>
  <si>
    <t>장의비</t>
  </si>
  <si>
    <t>동내의</t>
  </si>
  <si>
    <t>월동대책비</t>
  </si>
  <si>
    <t>특별위로비</t>
  </si>
  <si>
    <t>연2회(추석)</t>
  </si>
  <si>
    <t>기타지원비</t>
  </si>
  <si>
    <t>캠프활동지원비</t>
  </si>
  <si>
    <t>의료비</t>
  </si>
  <si>
    <t>건강검진비</t>
  </si>
  <si>
    <t>특별부식비</t>
  </si>
  <si>
    <t>특별난방비</t>
  </si>
  <si>
    <t>정부보조 총운영비</t>
  </si>
  <si>
    <t>2013년 엘림소망의집 정부보조 소요액 파악 자료</t>
  </si>
  <si>
    <t>신규</t>
  </si>
  <si>
    <t>상담평가원</t>
  </si>
  <si>
    <t>박은정</t>
  </si>
  <si>
    <t>회</t>
  </si>
  <si>
    <t>세      입</t>
  </si>
  <si>
    <t>세     출</t>
  </si>
  <si>
    <t>박세혁</t>
  </si>
  <si>
    <t>사무국장</t>
  </si>
  <si>
    <t>생활지도원</t>
  </si>
  <si>
    <t>작업치료사</t>
  </si>
  <si>
    <t>장담이</t>
  </si>
  <si>
    <t>일용잡급</t>
  </si>
  <si>
    <t>기초생활수급권자</t>
  </si>
  <si>
    <t>관리운영비</t>
  </si>
  <si>
    <t>＝</t>
  </si>
  <si>
    <t>×</t>
  </si>
  <si>
    <t>02.재산조성비</t>
  </si>
  <si>
    <t>김경찬</t>
  </si>
  <si>
    <t>4131.인건비</t>
  </si>
  <si>
    <t>4132.관리운영비</t>
  </si>
  <si>
    <t>4133.생계비</t>
  </si>
  <si>
    <t>4134.특별위로비</t>
  </si>
  <si>
    <t>4135.장의비</t>
  </si>
  <si>
    <t>4136.월동대책비</t>
  </si>
  <si>
    <t>4137.캠프활동지원비</t>
  </si>
  <si>
    <t>4138.특별부식비</t>
  </si>
  <si>
    <t>4139.의료비</t>
  </si>
  <si>
    <t>413a.건강검진비</t>
  </si>
  <si>
    <t>413c.종사자수당</t>
  </si>
  <si>
    <t>811.법인전입금</t>
  </si>
  <si>
    <t>414.기타보조금</t>
  </si>
  <si>
    <t>4141. 기타보조금</t>
  </si>
  <si>
    <t>812.법인전입금(후원금)</t>
  </si>
  <si>
    <t>8121.후원법인전입금</t>
  </si>
  <si>
    <t>공동모금회 지정기탁금</t>
  </si>
  <si>
    <t>후원법인전입금</t>
  </si>
  <si>
    <t>10.잡수입</t>
  </si>
  <si>
    <t>101.잡수입</t>
  </si>
  <si>
    <t>413.시군구보조금</t>
  </si>
  <si>
    <t>3335.여자끼리</t>
  </si>
  <si>
    <t>시군구보조금</t>
  </si>
  <si>
    <t>기타보조금</t>
  </si>
  <si>
    <t>후원법인전입금</t>
  </si>
  <si>
    <t>332e.성탄의밤</t>
  </si>
  <si>
    <t>10.잡수입</t>
  </si>
  <si>
    <t>잡수입</t>
  </si>
  <si>
    <t>2015년도 세입예산(안)</t>
  </si>
  <si>
    <t>2015년도 세출 예산(안)</t>
  </si>
  <si>
    <t>332b.취미교실</t>
  </si>
  <si>
    <t>2015년 엘림소망의집 예산 인건비 산출내역-20명</t>
  </si>
  <si>
    <t>승급월</t>
  </si>
  <si>
    <t>호봉</t>
  </si>
  <si>
    <t>기본급소계              (ⓐ)</t>
  </si>
  <si>
    <t>제  수  당(ⓑ)</t>
  </si>
  <si>
    <t>총    계ⓐ</t>
  </si>
  <si>
    <t>2014년</t>
  </si>
  <si>
    <t>연금보수월액</t>
  </si>
  <si>
    <t>월            연금보험료</t>
  </si>
  <si>
    <t>건강보수월액</t>
  </si>
  <si>
    <t>사  대  보  험(ⓒ)</t>
  </si>
  <si>
    <t>퇴직적립금                   (ⓓ)</t>
  </si>
  <si>
    <t>지급총액                (ⓔ=ⓐ+ⓑ+ⓒ+ⓓ)</t>
  </si>
  <si>
    <t>7월부터반영국민연금</t>
  </si>
  <si>
    <t>연장근로계</t>
  </si>
  <si>
    <t>시급계</t>
  </si>
  <si>
    <t>총임금</t>
  </si>
  <si>
    <t>2013년결산급여</t>
  </si>
  <si>
    <t>소 계</t>
  </si>
  <si>
    <t>명절휴가비</t>
  </si>
  <si>
    <t>직책보조수당</t>
  </si>
  <si>
    <t>연장근로수당</t>
  </si>
  <si>
    <t>가족수당</t>
  </si>
  <si>
    <t>소계</t>
  </si>
  <si>
    <t>국민건강</t>
  </si>
  <si>
    <t>장기요양</t>
  </si>
  <si>
    <t>국민연금</t>
  </si>
  <si>
    <t>직원</t>
  </si>
  <si>
    <t>고용보험</t>
  </si>
  <si>
    <t>산재보험</t>
  </si>
  <si>
    <t>원장</t>
  </si>
  <si>
    <t>심진봉</t>
  </si>
  <si>
    <t>박세혁</t>
  </si>
  <si>
    <t>사무국장</t>
  </si>
  <si>
    <t>김춘희</t>
  </si>
  <si>
    <t>사회재활교사</t>
  </si>
  <si>
    <t>전상현</t>
  </si>
  <si>
    <t>생활지도원</t>
  </si>
  <si>
    <t>이원영</t>
  </si>
  <si>
    <t>김계주</t>
  </si>
  <si>
    <t>김극진</t>
  </si>
  <si>
    <t>김세현</t>
  </si>
  <si>
    <t>이종영</t>
  </si>
  <si>
    <t>박민지</t>
  </si>
  <si>
    <t>손성호</t>
  </si>
  <si>
    <t>김민지</t>
  </si>
  <si>
    <t>정동민</t>
  </si>
  <si>
    <t>박영일</t>
  </si>
  <si>
    <t>조리원</t>
  </si>
  <si>
    <t>박문숙</t>
  </si>
  <si>
    <t>김봉란</t>
  </si>
  <si>
    <t>서숙재</t>
  </si>
  <si>
    <t>위생원</t>
  </si>
  <si>
    <t>정안순</t>
  </si>
  <si>
    <t>사무원</t>
  </si>
  <si>
    <t>황효섭</t>
  </si>
  <si>
    <t>간호사</t>
  </si>
  <si>
    <t>배은옥</t>
  </si>
  <si>
    <t>양은하</t>
  </si>
  <si>
    <t>작업치료사</t>
  </si>
  <si>
    <t>박은정</t>
  </si>
  <si>
    <t>계</t>
  </si>
  <si>
    <t>과장</t>
  </si>
  <si>
    <t>김아연</t>
  </si>
  <si>
    <t>간호조무사</t>
  </si>
  <si>
    <t>황선화</t>
  </si>
  <si>
    <t>물리치료사</t>
  </si>
  <si>
    <t>임선애</t>
  </si>
  <si>
    <t>번호</t>
  </si>
  <si>
    <t>직 책</t>
  </si>
  <si>
    <t>성 명</t>
  </si>
  <si>
    <t>호봉</t>
  </si>
  <si>
    <t>원장</t>
  </si>
  <si>
    <t>박세혁</t>
  </si>
  <si>
    <t>사무국장</t>
  </si>
  <si>
    <t>김춘희</t>
  </si>
  <si>
    <t>사회재활교사</t>
  </si>
  <si>
    <t>전상현</t>
  </si>
  <si>
    <t>생활지도원</t>
  </si>
  <si>
    <t>이원영</t>
  </si>
  <si>
    <t>김계주</t>
  </si>
  <si>
    <t>김극진</t>
  </si>
  <si>
    <t>김세현</t>
  </si>
  <si>
    <t>이종영</t>
  </si>
  <si>
    <t>오재흠</t>
  </si>
  <si>
    <t>남보경</t>
  </si>
  <si>
    <t>박용기</t>
  </si>
  <si>
    <t>김민지</t>
  </si>
  <si>
    <t>조리원</t>
  </si>
  <si>
    <t>김봉란</t>
  </si>
  <si>
    <t>서숙재</t>
  </si>
  <si>
    <t>대체인력</t>
  </si>
  <si>
    <t>김영희</t>
  </si>
  <si>
    <t>위생원</t>
  </si>
  <si>
    <t>정안순</t>
  </si>
  <si>
    <t>사무원</t>
  </si>
  <si>
    <t>황효섭</t>
  </si>
  <si>
    <t>간호조무사</t>
  </si>
  <si>
    <t>양은하</t>
  </si>
  <si>
    <t>물리치료사</t>
  </si>
  <si>
    <t>임선애</t>
  </si>
  <si>
    <t>계</t>
  </si>
  <si>
    <t>오재흠</t>
  </si>
  <si>
    <t>정동만</t>
  </si>
  <si>
    <t>1분기보험</t>
  </si>
  <si>
    <t>실계</t>
  </si>
  <si>
    <t>김경찬</t>
  </si>
  <si>
    <t>분기</t>
  </si>
  <si>
    <t>직 책</t>
  </si>
  <si>
    <t>구분</t>
  </si>
  <si>
    <t>성 명</t>
  </si>
  <si>
    <t>호봉</t>
  </si>
  <si>
    <t>기본급</t>
  </si>
  <si>
    <t>개월</t>
  </si>
  <si>
    <t>기본급소계              (ⓐ)</t>
  </si>
  <si>
    <t>제  수  당(ⓑ)</t>
  </si>
  <si>
    <t>총    계ⓐ</t>
  </si>
  <si>
    <t>연금보수월액</t>
  </si>
  <si>
    <t>연금보험료</t>
  </si>
  <si>
    <t>건강보수월액</t>
  </si>
  <si>
    <t>사  대  보  험(ⓒ)</t>
  </si>
  <si>
    <t>1분기</t>
  </si>
  <si>
    <t>신청</t>
  </si>
  <si>
    <t>소급분</t>
  </si>
  <si>
    <t>1분기 소급분</t>
  </si>
  <si>
    <t>2분기</t>
  </si>
  <si>
    <t>정동민</t>
  </si>
  <si>
    <t>박영일</t>
  </si>
  <si>
    <t>2분기소급분</t>
  </si>
  <si>
    <t>3분기</t>
  </si>
  <si>
    <t>3분기소급분</t>
  </si>
  <si>
    <t>4분기</t>
  </si>
  <si>
    <t>4분기 소급분</t>
  </si>
  <si>
    <t>2013년</t>
  </si>
  <si>
    <t>직원별 소급분</t>
  </si>
  <si>
    <t>분기별 합계</t>
  </si>
  <si>
    <t>2015년 사업계획(안)</t>
  </si>
  <si>
    <t>413b.특별난방비</t>
  </si>
  <si>
    <t>실비이용거주인 339,000×10명×12월=</t>
  </si>
  <si>
    <t>거주인 인권교육</t>
  </si>
  <si>
    <t>413d.거주인 인권교육</t>
  </si>
  <si>
    <t>34,830*20명*1월</t>
  </si>
  <si>
    <t>관</t>
  </si>
  <si>
    <t>항</t>
  </si>
  <si>
    <t>＝</t>
  </si>
  <si>
    <t>112.제수당</t>
  </si>
  <si>
    <t>1121.명절휴가비</t>
  </si>
  <si>
    <t>1122.연장근로수당</t>
  </si>
  <si>
    <t>1123.가족수당</t>
  </si>
  <si>
    <t>1126.직책보조수당</t>
  </si>
  <si>
    <t>1124.장려수당</t>
  </si>
  <si>
    <t>1125.자격수당</t>
  </si>
  <si>
    <t>1126.특수자격수당</t>
  </si>
  <si>
    <t>1127.팀장보조수당</t>
  </si>
  <si>
    <t>113.일용잡금</t>
  </si>
  <si>
    <t>1131.일용급</t>
  </si>
  <si>
    <t>일용잡급</t>
  </si>
  <si>
    <t>115.퇴직금및퇴직적립금</t>
  </si>
  <si>
    <t>1151.퇴직적립금</t>
  </si>
  <si>
    <t>116.사회보험부담비용</t>
  </si>
  <si>
    <t>1161.국민건강보험</t>
  </si>
  <si>
    <t>1162.장기요양보험</t>
  </si>
  <si>
    <t>1163.국민연금</t>
  </si>
  <si>
    <t>1164.고용보험</t>
  </si>
  <si>
    <t>1165.산재보험</t>
  </si>
  <si>
    <t>산재보험</t>
  </si>
  <si>
    <t>117.기타후생경비</t>
  </si>
  <si>
    <t>1171.기타후생경비</t>
  </si>
  <si>
    <t>12.업무추진비</t>
  </si>
  <si>
    <t>121.기관운영비</t>
  </si>
  <si>
    <t>1211.기관운영비</t>
  </si>
  <si>
    <t>122.회의비</t>
  </si>
  <si>
    <t>13.운영비</t>
  </si>
  <si>
    <t>131.여 비</t>
  </si>
  <si>
    <t>132.수용비및수수료</t>
  </si>
  <si>
    <t>1321.수용비및수수료</t>
  </si>
  <si>
    <t>133.공공요금</t>
  </si>
  <si>
    <t>1331.공공요금</t>
  </si>
  <si>
    <t>134.제세공과금</t>
  </si>
  <si>
    <t>1341.제세공과금</t>
  </si>
  <si>
    <t>135.차량비</t>
  </si>
  <si>
    <t>1351.차량유지비</t>
  </si>
  <si>
    <t>136. 기 타운영비</t>
  </si>
  <si>
    <t>1361.기타운영비</t>
  </si>
  <si>
    <t>02.재산   조정비</t>
  </si>
  <si>
    <t>21.시설비</t>
  </si>
  <si>
    <t>211.시설비</t>
  </si>
  <si>
    <t>2111.시설비</t>
  </si>
  <si>
    <t>212.자산취득비</t>
  </si>
  <si>
    <t>2121.자산취득비</t>
  </si>
  <si>
    <t>213.시설장비유지비</t>
  </si>
  <si>
    <t>2131.시설장비유지비</t>
  </si>
  <si>
    <t>03.사업비</t>
  </si>
  <si>
    <t>31.운영비</t>
  </si>
  <si>
    <t>311.생계비</t>
  </si>
  <si>
    <t>3111.주.부식비</t>
  </si>
  <si>
    <t>3112.특별위로비</t>
  </si>
  <si>
    <t>312. 수용기관경비</t>
  </si>
  <si>
    <t>3121.수용기관경비</t>
  </si>
  <si>
    <t>313.피복비</t>
  </si>
  <si>
    <t>3131.피복비</t>
  </si>
  <si>
    <t>314.의료비</t>
  </si>
  <si>
    <t>3141.의료비</t>
  </si>
  <si>
    <t>315. 장의비</t>
  </si>
  <si>
    <t>3151.장의비</t>
  </si>
  <si>
    <t>316.직업재활비</t>
  </si>
  <si>
    <t>3161.직업재활비</t>
  </si>
  <si>
    <t>해당사항 없음</t>
  </si>
  <si>
    <t>317.자활사업비</t>
  </si>
  <si>
    <t>3171.자활사업비</t>
  </si>
  <si>
    <t>318.특별급식비</t>
  </si>
  <si>
    <t>3181.특별급식비</t>
  </si>
  <si>
    <t>319.연료비</t>
  </si>
  <si>
    <t>3191.취사연료비</t>
  </si>
  <si>
    <t>3192.난방연료비</t>
  </si>
  <si>
    <t>32.교육비</t>
  </si>
  <si>
    <t>322.학용품비</t>
  </si>
  <si>
    <t>3221.학용품비</t>
  </si>
  <si>
    <t>323.도서구입비</t>
  </si>
  <si>
    <t>3231.도서구입비</t>
  </si>
  <si>
    <t>324.교통비</t>
  </si>
  <si>
    <t>3241.교통비</t>
  </si>
  <si>
    <t>327.수학여행비</t>
  </si>
  <si>
    <t>3271.수학여행비</t>
  </si>
  <si>
    <t>330.기타교육비</t>
  </si>
  <si>
    <t>3301.기타교육비</t>
  </si>
  <si>
    <t>33.사업비</t>
  </si>
  <si>
    <t>331.의료재활사업비</t>
  </si>
  <si>
    <t>3311.운동치료</t>
  </si>
  <si>
    <t>3312.작업치료</t>
  </si>
  <si>
    <t>3313.감각통합치료</t>
  </si>
  <si>
    <t>3313.보건교육</t>
  </si>
  <si>
    <t>3314.간호서비스사업</t>
  </si>
  <si>
    <t>332.사회심리재활사업비</t>
  </si>
  <si>
    <t>3321.미술나라</t>
  </si>
  <si>
    <t>3322.요리교실</t>
  </si>
  <si>
    <t>3323.피부미용사업</t>
  </si>
  <si>
    <t>3324.다도교실</t>
  </si>
  <si>
    <t>3325.월별프로그램</t>
  </si>
  <si>
    <t>3327.단체놀이-우리함께</t>
  </si>
  <si>
    <t>3328.문화    바우처</t>
  </si>
  <si>
    <t>3329.노래교실</t>
  </si>
  <si>
    <t>332a.프리    테니스</t>
  </si>
  <si>
    <t>332e.사회적응프로그램</t>
  </si>
  <si>
    <t>332f.대중목욕탕이용하기</t>
  </si>
  <si>
    <t>332g.생신잔치</t>
  </si>
  <si>
    <t>332h.하계캠프</t>
  </si>
  <si>
    <t>333.교육재활사업비</t>
  </si>
  <si>
    <t>3328.느낌표쉼표</t>
  </si>
  <si>
    <t>334.직업재활사업비</t>
  </si>
  <si>
    <t>3341.세차    전문가</t>
  </si>
  <si>
    <t>335.기타사업비</t>
  </si>
  <si>
    <t>3352.소식지발행사업</t>
  </si>
  <si>
    <t>3353.홈페이지관리</t>
  </si>
  <si>
    <t>05.보조금반환</t>
  </si>
  <si>
    <t>51.보조금반환</t>
  </si>
  <si>
    <t>511.보조금반환</t>
  </si>
  <si>
    <t>5111.보조금반환</t>
  </si>
  <si>
    <t>보조금반환</t>
  </si>
  <si>
    <t>06.부채   상환금</t>
  </si>
  <si>
    <t>61.부채     상환금</t>
  </si>
  <si>
    <t>611.원금상환금</t>
  </si>
  <si>
    <t>6111.원금상환금</t>
  </si>
  <si>
    <t>원금상환금</t>
  </si>
  <si>
    <t>612.이자지불금</t>
  </si>
  <si>
    <t>6121.이자지불금</t>
  </si>
  <si>
    <t>이자지불금</t>
  </si>
  <si>
    <t>07.잡지출</t>
  </si>
  <si>
    <t>71.잡지출</t>
  </si>
  <si>
    <t>711.잡지출</t>
  </si>
  <si>
    <t>7111.잡지출</t>
  </si>
  <si>
    <t>잡지출</t>
  </si>
  <si>
    <t>08.과년도지출</t>
  </si>
  <si>
    <t>81.과년도지출</t>
  </si>
  <si>
    <t>811.과년도지출</t>
  </si>
  <si>
    <t>8111.과년도지출</t>
  </si>
  <si>
    <t>09.예비비</t>
  </si>
  <si>
    <t>81.예비비</t>
  </si>
  <si>
    <t>811.예비비</t>
  </si>
  <si>
    <t>8111.예비비</t>
  </si>
  <si>
    <t>645,965,650*1/12</t>
  </si>
  <si>
    <t>19,605,060*6.55%</t>
  </si>
  <si>
    <t>1221.회의비</t>
  </si>
  <si>
    <t>1311.여비</t>
  </si>
  <si>
    <t>3313.모래상자놀이치료</t>
  </si>
  <si>
    <t>332j.친구</t>
  </si>
  <si>
    <t>332k.배드민턴</t>
  </si>
  <si>
    <t>332l.텃밭가꾸기</t>
  </si>
  <si>
    <t>332m.걸으며 건강찾자</t>
  </si>
  <si>
    <t>332o.축구교실</t>
  </si>
  <si>
    <t>3328.위생교육</t>
  </si>
  <si>
    <t>3328.내일뭐하지?</t>
  </si>
  <si>
    <t>3328.거주인 인권교육</t>
  </si>
  <si>
    <t>3342.천연비누만들기</t>
  </si>
  <si>
    <t>332n.동화아이클레이만들기</t>
  </si>
  <si>
    <t>332p. 영화감상</t>
  </si>
  <si>
    <t>332q. 계절나들이</t>
  </si>
  <si>
    <t>332r. 야간외출프로그램</t>
  </si>
  <si>
    <t>332s. 수영장 이용</t>
  </si>
  <si>
    <t>53,830,470*3.035%×12월</t>
  </si>
  <si>
    <t>55,194,780*4.5%×12월</t>
  </si>
  <si>
    <t>53,830,470*0.90%×12월</t>
  </si>
  <si>
    <t>53,830,470*0.70%×12월</t>
  </si>
  <si>
    <t>(2015년 인건비기준 적용, 월 호봉기준적용)</t>
  </si>
  <si>
    <t>기본급의 60%(2월, 9월)</t>
  </si>
  <si>
    <t>2,195,000*30명</t>
  </si>
  <si>
    <t>03. 사업비</t>
  </si>
  <si>
    <t>33. 사업비</t>
  </si>
  <si>
    <t>기타운영비</t>
  </si>
  <si>
    <t>기타사업비</t>
  </si>
  <si>
    <t>전기온열치료 소모품(자)</t>
  </si>
  <si>
    <t>×</t>
  </si>
  <si>
    <t>명</t>
  </si>
  <si>
    <t>회</t>
  </si>
  <si>
    <t>×</t>
  </si>
  <si>
    <t>명</t>
  </si>
  <si>
    <t>회</t>
  </si>
  <si>
    <t>＝</t>
  </si>
  <si>
    <t>34,772*20명*1월</t>
  </si>
  <si>
    <t>8,279*30일*20명*12월</t>
  </si>
  <si>
    <t>종사자수당</t>
  </si>
  <si>
    <t>장려수당</t>
  </si>
  <si>
    <t>월</t>
  </si>
  <si>
    <t>＝</t>
  </si>
  <si>
    <t>자격수당</t>
  </si>
  <si>
    <t>2015년도에서 이월되는 이월금</t>
  </si>
  <si>
    <t>2015년도에서 이월되는 지정후원이월금</t>
  </si>
  <si>
    <t>2015년도에서 이월되는 비지정후원이월금</t>
  </si>
  <si>
    <t>사회복지현장실습비</t>
  </si>
  <si>
    <t>=</t>
  </si>
  <si>
    <t>기타잡수입</t>
  </si>
  <si>
    <t>직원식사제공비</t>
  </si>
  <si>
    <t>월</t>
  </si>
  <si>
    <t>건강검진비</t>
  </si>
  <si>
    <t>2016년 장애인복지시설 인건비기준 적용(직원20명)</t>
  </si>
  <si>
    <t>2016년 인건비(기본급*60%*2회) 기준적용 80,261,000*0.6=</t>
  </si>
  <si>
    <t>퇴직적립금</t>
  </si>
  <si>
    <t>681,196,840*1/12</t>
  </si>
  <si>
    <t>국민건강보험</t>
  </si>
  <si>
    <t>56,766,410(평균보수월액)*3.035%*12월</t>
  </si>
  <si>
    <t>=</t>
  </si>
  <si>
    <t>장기요양보험</t>
  </si>
  <si>
    <t>20,674,320*6.55%</t>
  </si>
  <si>
    <t>국민연금</t>
  </si>
  <si>
    <t>56,766,410(평,균보수월액)*4.5%*12월</t>
  </si>
  <si>
    <t>고용보험</t>
  </si>
  <si>
    <t>56,766,410(평균보수월액)*0.90%*12월</t>
  </si>
  <si>
    <t>산재보험</t>
  </si>
  <si>
    <t>56,766,410(평균보수월액)*0.70%*12월</t>
  </si>
  <si>
    <t>연구활동지원비(자)</t>
  </si>
  <si>
    <t>우수직원포상금(자)</t>
  </si>
  <si>
    <t>법인직원체육대회(자)</t>
  </si>
  <si>
    <t>팀별 단합등반대회(자)</t>
  </si>
  <si>
    <t>기관운영비(자)</t>
  </si>
  <si>
    <t>기타운영비(잡)</t>
  </si>
  <si>
    <t>운영위원회(자)</t>
  </si>
  <si>
    <t>인권지킴이단(보)</t>
  </si>
  <si>
    <t>부모간담회(자)</t>
  </si>
  <si>
    <t>해외연수참가비(자)</t>
  </si>
  <si>
    <t>인</t>
  </si>
  <si>
    <t>국내교육참가비(자)</t>
  </si>
  <si>
    <t>국내외교육여비(보)</t>
  </si>
  <si>
    <t>정수기관리비(보)</t>
  </si>
  <si>
    <t>사무용품비(자)</t>
  </si>
  <si>
    <t>집기구입비(보)</t>
  </si>
  <si>
    <t>환경미화비(자)</t>
  </si>
  <si>
    <t>사진현상비(자)</t>
  </si>
  <si>
    <t>정화조오물수거료(자)</t>
  </si>
  <si>
    <t>기타비용(자)</t>
  </si>
  <si>
    <t>우편료(자)</t>
  </si>
  <si>
    <t>한장협 회비(자)</t>
  </si>
  <si>
    <t>경장협 회비(자)</t>
  </si>
  <si>
    <t>소규모수선비(자)</t>
  </si>
  <si>
    <t>케이블방송요금(보)</t>
  </si>
  <si>
    <t>전화요금(보)</t>
  </si>
  <si>
    <t>상수도요금(자)</t>
  </si>
  <si>
    <t>영업배상책임보험(보)</t>
  </si>
  <si>
    <t>화재보험(보)</t>
  </si>
  <si>
    <t>가스배상책임보험(보)</t>
  </si>
  <si>
    <t>자동차보험(보)</t>
  </si>
  <si>
    <t>대</t>
  </si>
  <si>
    <t>자동차세(보)</t>
  </si>
  <si>
    <t>환경개선부담금(보)</t>
  </si>
  <si>
    <t>기타 제세공과금(보)</t>
  </si>
  <si>
    <t>차량유류대(보,자)</t>
  </si>
  <si>
    <t>차량정비및소모품(자)</t>
  </si>
  <si>
    <t>종사자단체복(자)</t>
  </si>
  <si>
    <t>원내직원교육강사비(자)</t>
  </si>
  <si>
    <t>신원보증보험료(자)</t>
  </si>
  <si>
    <t>2층 프로그램실 및 위생실장비(보)</t>
  </si>
  <si>
    <t>문서고 수납장(보,비후)</t>
  </si>
  <si>
    <t>전시실 수납장(비후)</t>
  </si>
  <si>
    <t>기타비품구입(자)</t>
  </si>
  <si>
    <t>전기안전관리비(보)</t>
  </si>
  <si>
    <t>엘리베이터안전관리(보)</t>
  </si>
  <si>
    <t>기타시설유지비(보)</t>
  </si>
  <si>
    <t>문 수리비(비후)</t>
  </si>
  <si>
    <t>TV 수리비(비후)</t>
  </si>
  <si>
    <t>도배교체비(자, 후)</t>
  </si>
  <si>
    <t>실</t>
  </si>
  <si>
    <t>지하실 물펌프 수리비(지후)</t>
  </si>
  <si>
    <t>소방안전점검료(지후)</t>
  </si>
  <si>
    <t>기타 시설유지비(자)</t>
  </si>
  <si>
    <t>주식비(생보,자)</t>
  </si>
  <si>
    <t>일</t>
  </si>
  <si>
    <t>부식비(생보,자)</t>
  </si>
  <si>
    <t>직원주부식비(잡)</t>
  </si>
  <si>
    <t>김장지원비(특보)</t>
  </si>
  <si>
    <t>설날(1월)(특보)</t>
  </si>
  <si>
    <t>33,250*20명*1월</t>
  </si>
  <si>
    <t>추석(9월)(특보)</t>
  </si>
  <si>
    <t>칫솔.치약(자)</t>
  </si>
  <si>
    <t>비누,세제류(보)</t>
  </si>
  <si>
    <t>샴푸,린스(자)</t>
  </si>
  <si>
    <t>로션(자)</t>
  </si>
  <si>
    <t>화장지, 기저귀(자)</t>
  </si>
  <si>
    <t>기타생필품(자)</t>
  </si>
  <si>
    <t>외출복(자)</t>
  </si>
  <si>
    <t>런닝,팬티(자)</t>
  </si>
  <si>
    <t>동내의(생보,특보,자)</t>
  </si>
  <si>
    <t>상비시약대(특보,보)</t>
  </si>
  <si>
    <t>의료소모품(자)</t>
  </si>
  <si>
    <t>기초수급자장제비(특보)</t>
  </si>
  <si>
    <t>구</t>
  </si>
  <si>
    <t>LPG(생보)</t>
  </si>
  <si>
    <t>난방연료비(자)</t>
  </si>
  <si>
    <t>전기요금(보,특보, 지후)</t>
  </si>
  <si>
    <t>가방(자)</t>
  </si>
  <si>
    <t>학용품비(자)</t>
  </si>
  <si>
    <t>기타도서(자)</t>
  </si>
  <si>
    <t>교구구입비(보)</t>
  </si>
  <si>
    <t>교구구입비(자)</t>
  </si>
  <si>
    <t>교구구입비(보)</t>
  </si>
  <si>
    <t>보건교육</t>
  </si>
  <si>
    <t>성교육-외부강사비(자)</t>
  </si>
  <si>
    <t>건강검진비(특보)</t>
  </si>
  <si>
    <t>암건진비(자)</t>
  </si>
  <si>
    <t>원내 보건환경 조성사업비(자)</t>
  </si>
  <si>
    <t>예방접종비(자)</t>
  </si>
  <si>
    <t>소독및방역(자)</t>
  </si>
  <si>
    <t>조리도구(보)</t>
  </si>
  <si>
    <t>교구구입(보)</t>
  </si>
  <si>
    <t>사회적응프로그램</t>
  </si>
  <si>
    <t>교통비(보)</t>
  </si>
  <si>
    <t>식대(보)</t>
  </si>
  <si>
    <t>음악회 관람 간식비(보)</t>
  </si>
  <si>
    <t>핸드벨 구입비(보)</t>
  </si>
  <si>
    <t>프로그램 비용(보,자)</t>
  </si>
  <si>
    <t>예비비(자)</t>
  </si>
  <si>
    <t>행사비(보)</t>
  </si>
  <si>
    <t>선물비(보)</t>
  </si>
  <si>
    <t>선물케익(보,자)</t>
  </si>
  <si>
    <t>다과 및 음식(자)</t>
  </si>
  <si>
    <t>환갑잔치(자)</t>
  </si>
  <si>
    <t>하계캠프(특보, 자)</t>
  </si>
  <si>
    <t>진행비(비후)</t>
  </si>
  <si>
    <t>외출비(보)</t>
  </si>
  <si>
    <t>프로그램 진행비(지후)</t>
  </si>
  <si>
    <t>물품구입비(보)</t>
  </si>
  <si>
    <t>체험비(지후)</t>
  </si>
  <si>
    <t>모종비용(보)</t>
  </si>
  <si>
    <t>물품구입(자)</t>
  </si>
  <si>
    <t>등산용품 구입(보)</t>
  </si>
  <si>
    <t>아이클레이 구입(보)</t>
  </si>
  <si>
    <t>축구공 구입(보)</t>
  </si>
  <si>
    <t>개</t>
  </si>
  <si>
    <t>풋살장 이용료(보)</t>
  </si>
  <si>
    <t>유니폼 구입(보)</t>
  </si>
  <si>
    <t>간식비(자)</t>
  </si>
  <si>
    <t>나들이 비용(보)</t>
  </si>
  <si>
    <t>반기</t>
  </si>
  <si>
    <t>나들이 비용(자)</t>
  </si>
  <si>
    <t>식대(보)</t>
  </si>
  <si>
    <t>참여학습비(자)</t>
  </si>
  <si>
    <t>수영장 이용료(자)</t>
  </si>
  <si>
    <t>수영복 구비비(자)</t>
  </si>
  <si>
    <t>교구제작비</t>
  </si>
  <si>
    <t>참여학습비(비후)</t>
  </si>
  <si>
    <t>청소도구(자)</t>
  </si>
  <si>
    <t>물품 구입비(보)</t>
  </si>
  <si>
    <t>상품 구입비(자)</t>
  </si>
  <si>
    <t>외부강사 초청비(특보)</t>
  </si>
  <si>
    <t>강화물 구입비(보)</t>
  </si>
  <si>
    <t>인쇄비(자)</t>
  </si>
  <si>
    <t>편집회의시 간식(자)</t>
  </si>
  <si>
    <t>회식(자)</t>
  </si>
  <si>
    <t>잡지출(자)</t>
  </si>
  <si>
    <t>예금이자(잡)</t>
  </si>
  <si>
    <t>2015년도 이월되는 금액</t>
  </si>
  <si>
    <t>예비비(전,자)</t>
  </si>
  <si>
    <t>2016년 1차 추경 세입 예산(안)</t>
  </si>
  <si>
    <t>1차 추경 예  산  산  출  내  역</t>
  </si>
  <si>
    <t>2016년 1차 추경 세출 예산(안)</t>
  </si>
  <si>
    <t>기정예산(A)</t>
  </si>
  <si>
    <t>1차추경예산(B)</t>
  </si>
  <si>
    <t>증감(B-A)</t>
  </si>
  <si>
    <t>증:10,769</t>
  </si>
  <si>
    <t>증: 10,769</t>
  </si>
  <si>
    <t>기정예산(A)</t>
  </si>
  <si>
    <t>1차추경예산(B)</t>
  </si>
  <si>
    <t>증감(B-A)</t>
  </si>
  <si>
    <r>
      <t>2015년 인건비 기준적용(행정직:2</t>
    </r>
    <r>
      <rPr>
        <sz val="11"/>
        <rFont val="돋움"/>
        <family val="3"/>
      </rPr>
      <t>5</t>
    </r>
    <r>
      <rPr>
        <sz val="11"/>
        <rFont val="돋움"/>
        <family val="3"/>
      </rPr>
      <t>시간, 생활지도원,조리원:4</t>
    </r>
    <r>
      <rPr>
        <sz val="11"/>
        <rFont val="돋움"/>
        <family val="3"/>
      </rPr>
      <t>5</t>
    </r>
    <r>
      <rPr>
        <sz val="11"/>
        <rFont val="돋움"/>
        <family val="3"/>
      </rPr>
      <t>시간)</t>
    </r>
  </si>
  <si>
    <t>원장, 국장,간호사,위생원,사무원, 작업치료사:25시간</t>
  </si>
  <si>
    <t>생활재활교사, 조리원: 45시간</t>
  </si>
  <si>
    <t>가족수당(80,000*2명*12월)+(60,000*2명*12월)+(40,000*3명*12월)+(20,000*2명*12월)</t>
  </si>
  <si>
    <t>설날(2월)</t>
  </si>
  <si>
    <t>홈페이지 관리비(자)</t>
  </si>
  <si>
    <t>×</t>
  </si>
  <si>
    <t>회</t>
  </si>
  <si>
    <t>=</t>
  </si>
  <si>
    <r>
      <t>2017년 세입</t>
    </r>
    <r>
      <rPr>
        <u val="single"/>
        <sz val="22"/>
        <rFont val="굴림"/>
        <family val="3"/>
      </rPr>
      <t>ㆍ</t>
    </r>
    <r>
      <rPr>
        <b/>
        <u val="single"/>
        <sz val="22"/>
        <rFont val="굴림"/>
        <family val="3"/>
      </rPr>
      <t>세출 예산 총괄(안)</t>
    </r>
  </si>
  <si>
    <t>전년도예산액</t>
  </si>
  <si>
    <t>예산액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</si>
</sst>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0_ "/>
    <numFmt numFmtId="178" formatCode="#\ ?/2"/>
    <numFmt numFmtId="179" formatCode="_-* #,##0.0_-;\-* #,##0.0_-;_-* &quot;-&quot;?_-;_-@_-"/>
    <numFmt numFmtId="180" formatCode="#\ ???/???"/>
    <numFmt numFmtId="181" formatCode="0.0%"/>
    <numFmt numFmtId="182" formatCode="#,##0_ "/>
    <numFmt numFmtId="183" formatCode="_-* #,##0_-;\-* #,##0_-;_-* &quot;-&quot;??_-;_-@_-"/>
    <numFmt numFmtId="184" formatCode="0.000%"/>
  </numFmts>
  <fonts count="4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8"/>
      <name val="굴림"/>
      <family val="3"/>
    </font>
    <font>
      <b/>
      <sz val="20"/>
      <name val="굴림"/>
      <family val="3"/>
    </font>
    <font>
      <sz val="24"/>
      <name val="굴림"/>
      <family val="3"/>
    </font>
    <font>
      <b/>
      <sz val="11"/>
      <name val="돋움"/>
      <family val="3"/>
    </font>
    <font>
      <sz val="24"/>
      <name val="HY그래픽"/>
      <family val="1"/>
    </font>
    <font>
      <b/>
      <sz val="26"/>
      <name val="굴림"/>
      <family val="3"/>
    </font>
    <font>
      <sz val="11"/>
      <name val="굴림"/>
      <family val="3"/>
    </font>
    <font>
      <sz val="12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u val="single"/>
      <sz val="24"/>
      <name val="굴림"/>
      <family val="3"/>
    </font>
    <font>
      <b/>
      <sz val="14"/>
      <name val="굴림"/>
      <family val="3"/>
    </font>
    <font>
      <sz val="10"/>
      <name val="굴림"/>
      <family val="3"/>
    </font>
    <font>
      <b/>
      <sz val="13"/>
      <name val="굴림"/>
      <family val="3"/>
    </font>
    <font>
      <sz val="14"/>
      <name val="굴림"/>
      <family val="3"/>
    </font>
    <font>
      <sz val="18"/>
      <name val="굴림"/>
      <family val="3"/>
    </font>
    <font>
      <b/>
      <u val="single"/>
      <sz val="22"/>
      <name val="굴림"/>
      <family val="3"/>
    </font>
    <font>
      <u val="single"/>
      <sz val="22"/>
      <name val="굴림"/>
      <family val="3"/>
    </font>
    <font>
      <b/>
      <sz val="36"/>
      <name val="굴림"/>
      <family val="3"/>
    </font>
    <font>
      <sz val="16"/>
      <color theme="0"/>
      <name val="굴림"/>
      <family val="3"/>
    </font>
    <font>
      <sz val="8"/>
      <color theme="0"/>
      <name val="굴림"/>
      <family val="3"/>
    </font>
    <font>
      <sz val="14"/>
      <color theme="0"/>
      <name val="굴림"/>
      <family val="3"/>
    </font>
    <font>
      <sz val="11"/>
      <color theme="0"/>
      <name val="굴림"/>
      <family val="3"/>
    </font>
    <font>
      <sz val="11"/>
      <color theme="0"/>
      <name val="돋움"/>
      <family val="3"/>
    </font>
    <font>
      <sz val="11"/>
      <color theme="1"/>
      <name val="굴림"/>
      <family val="3"/>
    </font>
    <font>
      <sz val="16"/>
      <color theme="1"/>
      <name val="굴림"/>
      <family val="3"/>
    </font>
    <font>
      <b/>
      <sz val="12"/>
      <name val="돋움"/>
      <family val="3"/>
    </font>
    <font>
      <sz val="11"/>
      <color theme="1"/>
      <name val="돋움"/>
      <family val="3"/>
    </font>
    <font>
      <sz val="12"/>
      <name val="돋움"/>
      <family val="3"/>
    </font>
    <font>
      <b/>
      <sz val="48"/>
      <name val="굴림"/>
      <family val="3"/>
    </font>
    <font>
      <b/>
      <sz val="28"/>
      <name val="굴림"/>
      <family val="3"/>
    </font>
    <font>
      <sz val="14"/>
      <name val="돋움"/>
      <family val="3"/>
    </font>
    <font>
      <b/>
      <sz val="14"/>
      <name val="돋움"/>
      <family val="3"/>
    </font>
    <font>
      <u val="single"/>
      <sz val="36"/>
      <name val="굴림"/>
      <family val="3"/>
    </font>
    <font>
      <sz val="12"/>
      <color theme="1"/>
      <name val="굴림"/>
      <family val="3"/>
    </font>
    <font>
      <sz val="10"/>
      <name val="돋움"/>
      <family val="3"/>
    </font>
    <font>
      <sz val="9"/>
      <name val="돋움"/>
      <family val="3"/>
    </font>
    <font>
      <sz val="9"/>
      <name val="굴림"/>
      <family val="3"/>
    </font>
    <font>
      <sz val="11"/>
      <color rgb="FFFF0000"/>
      <name val="굴림"/>
      <family val="3"/>
    </font>
    <font>
      <sz val="11"/>
      <color rgb="FFFF0000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9"/>
      <name val="Tahoma"/>
      <family val="2"/>
    </font>
    <font>
      <sz val="7"/>
      <name val="굴림"/>
      <family val="3"/>
    </font>
    <font>
      <b/>
      <sz val="8"/>
      <name val="돋움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medium"/>
      <right style="thin"/>
      <top style="thin"/>
      <bottom/>
    </border>
    <border>
      <left style="double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medium"/>
      <top style="thin"/>
      <bottom/>
    </border>
    <border>
      <left style="double"/>
      <right/>
      <top/>
      <bottom/>
    </border>
    <border>
      <left style="double"/>
      <right style="thin"/>
      <top/>
      <bottom style="thin"/>
    </border>
    <border>
      <left style="medium"/>
      <right style="medium"/>
      <top style="medium"/>
      <bottom style="medium"/>
    </border>
    <border diagonalUp="1">
      <left style="medium"/>
      <right/>
      <top/>
      <bottom/>
      <diagonal style="thin"/>
    </border>
    <border diagonalUp="1">
      <left style="medium"/>
      <right/>
      <top/>
      <bottom style="medium"/>
      <diagonal style="thin"/>
    </border>
    <border diagonalUp="1">
      <left style="medium"/>
      <right/>
      <top style="medium"/>
      <bottom style="medium"/>
      <diagonal style="thin"/>
    </border>
    <border>
      <left style="thin"/>
      <right/>
      <top style="medium"/>
      <bottom/>
    </border>
    <border>
      <left style="thin"/>
      <right style="double"/>
      <top/>
      <bottom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medium"/>
      <top style="thin"/>
      <bottom style="medium"/>
    </border>
    <border>
      <left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 diagonalUp="1">
      <left style="medium"/>
      <right style="thin"/>
      <top style="medium"/>
      <bottom/>
      <diagonal style="thin"/>
    </border>
    <border diagonalUp="1">
      <left style="medium"/>
      <right style="thin"/>
      <top/>
      <bottom/>
      <diagonal style="thin"/>
    </border>
    <border diagonalUp="1">
      <left style="medium"/>
      <right style="thin"/>
      <top/>
      <bottom style="medium"/>
      <diagonal style="thin"/>
    </border>
    <border>
      <left style="medium"/>
      <right/>
      <top style="medium"/>
      <bottom style="medium"/>
    </border>
    <border>
      <left/>
      <right style="double"/>
      <top style="medium"/>
      <bottom style="medium"/>
    </border>
    <border>
      <left/>
      <right style="double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</cellStyleXfs>
  <cellXfs count="134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center" vertical="distributed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41" fontId="3" fillId="0" borderId="0" xfId="21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180" fontId="3" fillId="0" borderId="0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41" fontId="10" fillId="0" borderId="2" xfId="21" applyFont="1" applyBorder="1" applyAlignment="1">
      <alignment horizontal="center" vertical="center"/>
    </xf>
    <xf numFmtId="41" fontId="9" fillId="0" borderId="2" xfId="21" applyFont="1" applyBorder="1" applyAlignment="1">
      <alignment horizontal="center" vertical="center"/>
    </xf>
    <xf numFmtId="41" fontId="9" fillId="0" borderId="3" xfId="2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 shrinkToFit="1"/>
    </xf>
    <xf numFmtId="178" fontId="10" fillId="0" borderId="2" xfId="0" applyNumberFormat="1" applyFont="1" applyBorder="1" applyAlignment="1">
      <alignment horizontal="center" vertical="center" shrinkToFit="1"/>
    </xf>
    <xf numFmtId="183" fontId="10" fillId="0" borderId="2" xfId="0" applyNumberFormat="1" applyFont="1" applyBorder="1" applyAlignment="1">
      <alignment vertical="center"/>
    </xf>
    <xf numFmtId="181" fontId="10" fillId="0" borderId="2" xfId="0" applyNumberFormat="1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3" fontId="10" fillId="0" borderId="5" xfId="0" applyNumberFormat="1" applyFont="1" applyBorder="1" applyAlignment="1">
      <alignment horizontal="center" vertical="center" shrinkToFit="1"/>
    </xf>
    <xf numFmtId="41" fontId="10" fillId="0" borderId="6" xfId="0" applyNumberFormat="1" applyFont="1" applyBorder="1" applyAlignment="1">
      <alignment horizontal="center" vertical="center" shrinkToFit="1"/>
    </xf>
    <xf numFmtId="183" fontId="10" fillId="0" borderId="3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1" fontId="10" fillId="0" borderId="10" xfId="21" applyFont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41" fontId="11" fillId="2" borderId="11" xfId="0" applyNumberFormat="1" applyFont="1" applyFill="1" applyBorder="1" applyAlignment="1">
      <alignment vertical="center"/>
    </xf>
    <xf numFmtId="41" fontId="11" fillId="2" borderId="12" xfId="0" applyNumberFormat="1" applyFont="1" applyFill="1" applyBorder="1" applyAlignment="1">
      <alignment vertical="center"/>
    </xf>
    <xf numFmtId="41" fontId="12" fillId="3" borderId="13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41" fontId="10" fillId="0" borderId="16" xfId="0" applyNumberFormat="1" applyFont="1" applyBorder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41" fontId="12" fillId="2" borderId="17" xfId="0" applyNumberFormat="1" applyFont="1" applyFill="1" applyBorder="1" applyAlignment="1">
      <alignment vertical="center"/>
    </xf>
    <xf numFmtId="183" fontId="12" fillId="2" borderId="3" xfId="0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41" fontId="9" fillId="0" borderId="22" xfId="21" applyFont="1" applyBorder="1" applyAlignment="1">
      <alignment vertical="center"/>
    </xf>
    <xf numFmtId="176" fontId="9" fillId="0" borderId="22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41" fontId="9" fillId="0" borderId="24" xfId="21" applyFont="1" applyBorder="1" applyAlignment="1">
      <alignment vertical="center"/>
    </xf>
    <xf numFmtId="176" fontId="9" fillId="0" borderId="24" xfId="0" applyNumberFormat="1" applyFont="1" applyBorder="1" applyAlignment="1">
      <alignment horizontal="center" vertical="center"/>
    </xf>
    <xf numFmtId="177" fontId="9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76" fontId="9" fillId="0" borderId="22" xfId="21" applyNumberFormat="1" applyFont="1" applyBorder="1" applyAlignment="1">
      <alignment horizontal="center" vertical="center"/>
    </xf>
    <xf numFmtId="41" fontId="9" fillId="0" borderId="0" xfId="2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9" fillId="0" borderId="26" xfId="21" applyFont="1" applyBorder="1" applyAlignment="1">
      <alignment vertical="center"/>
    </xf>
    <xf numFmtId="41" fontId="9" fillId="0" borderId="27" xfId="21" applyFont="1" applyBorder="1" applyAlignment="1">
      <alignment vertical="center"/>
    </xf>
    <xf numFmtId="0" fontId="9" fillId="0" borderId="21" xfId="0" applyFont="1" applyBorder="1" applyAlignment="1">
      <alignment horizontal="left" vertical="center" shrinkToFit="1"/>
    </xf>
    <xf numFmtId="179" fontId="9" fillId="0" borderId="0" xfId="0" applyNumberFormat="1" applyFont="1" applyBorder="1" applyAlignment="1">
      <alignment horizontal="center" vertical="center" shrinkToFit="1"/>
    </xf>
    <xf numFmtId="182" fontId="9" fillId="0" borderId="0" xfId="0" applyNumberFormat="1" applyFont="1" applyBorder="1" applyAlignment="1">
      <alignment vertical="center" shrinkToFit="1"/>
    </xf>
    <xf numFmtId="41" fontId="9" fillId="0" borderId="23" xfId="21" applyFont="1" applyBorder="1" applyAlignment="1">
      <alignment vertical="center"/>
    </xf>
    <xf numFmtId="41" fontId="9" fillId="0" borderId="28" xfId="21" applyFont="1" applyBorder="1" applyAlignment="1">
      <alignment vertical="center" shrinkToFit="1"/>
    </xf>
    <xf numFmtId="0" fontId="9" fillId="0" borderId="29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41" fontId="9" fillId="0" borderId="31" xfId="2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41" fontId="9" fillId="0" borderId="35" xfId="21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9" fontId="9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9" fontId="9" fillId="0" borderId="24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176" fontId="9" fillId="0" borderId="24" xfId="21" applyNumberFormat="1" applyFont="1" applyBorder="1" applyAlignment="1">
      <alignment horizontal="center" vertical="center" shrinkToFit="1"/>
    </xf>
    <xf numFmtId="41" fontId="9" fillId="0" borderId="38" xfId="21" applyFont="1" applyBorder="1" applyAlignment="1">
      <alignment vertical="center" shrinkToFit="1"/>
    </xf>
    <xf numFmtId="41" fontId="9" fillId="0" borderId="39" xfId="21" applyFont="1" applyBorder="1" applyAlignment="1">
      <alignment vertical="center" shrinkToFit="1"/>
    </xf>
    <xf numFmtId="41" fontId="9" fillId="0" borderId="40" xfId="21" applyFont="1" applyBorder="1" applyAlignment="1">
      <alignment vertical="center" shrinkToFit="1"/>
    </xf>
    <xf numFmtId="41" fontId="9" fillId="0" borderId="41" xfId="21" applyFont="1" applyBorder="1" applyAlignment="1">
      <alignment vertical="center" shrinkToFit="1"/>
    </xf>
    <xf numFmtId="41" fontId="9" fillId="0" borderId="41" xfId="2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41" fontId="9" fillId="0" borderId="41" xfId="21" applyFont="1" applyFill="1" applyBorder="1" applyAlignment="1">
      <alignment vertical="center" shrinkToFit="1"/>
    </xf>
    <xf numFmtId="41" fontId="9" fillId="0" borderId="39" xfId="21" applyFont="1" applyFill="1" applyBorder="1" applyAlignment="1">
      <alignment vertical="center" shrinkToFit="1"/>
    </xf>
    <xf numFmtId="41" fontId="9" fillId="0" borderId="38" xfId="21" applyFont="1" applyFill="1" applyBorder="1" applyAlignment="1">
      <alignment vertical="center" shrinkToFit="1"/>
    </xf>
    <xf numFmtId="0" fontId="14" fillId="0" borderId="34" xfId="0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1" fontId="9" fillId="0" borderId="2" xfId="21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41" fontId="9" fillId="0" borderId="11" xfId="21" applyFont="1" applyBorder="1" applyAlignment="1">
      <alignment vertical="center"/>
    </xf>
    <xf numFmtId="41" fontId="9" fillId="0" borderId="1" xfId="21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41" fontId="9" fillId="0" borderId="42" xfId="21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11" fillId="0" borderId="43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9" fillId="0" borderId="44" xfId="0" applyFont="1" applyBorder="1" applyAlignment="1">
      <alignment horizontal="left" vertical="center"/>
    </xf>
    <xf numFmtId="3" fontId="9" fillId="0" borderId="36" xfId="0" applyNumberFormat="1" applyFont="1" applyBorder="1" applyAlignment="1">
      <alignment vertical="center"/>
    </xf>
    <xf numFmtId="41" fontId="9" fillId="0" borderId="45" xfId="21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177" fontId="9" fillId="0" borderId="35" xfId="0" applyNumberFormat="1" applyFont="1" applyBorder="1" applyAlignment="1">
      <alignment horizontal="center" vertical="center"/>
    </xf>
    <xf numFmtId="41" fontId="9" fillId="0" borderId="24" xfId="2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177" fontId="9" fillId="0" borderId="24" xfId="0" applyNumberFormat="1" applyFont="1" applyBorder="1" applyAlignment="1">
      <alignment horizontal="center" vertical="center" shrinkToFit="1"/>
    </xf>
    <xf numFmtId="41" fontId="9" fillId="0" borderId="24" xfId="21" applyFont="1" applyBorder="1" applyAlignment="1">
      <alignment vertical="center" shrinkToFit="1"/>
    </xf>
    <xf numFmtId="0" fontId="9" fillId="0" borderId="27" xfId="0" applyFont="1" applyBorder="1" applyAlignment="1">
      <alignment horizontal="left" vertical="center" shrinkToFit="1"/>
    </xf>
    <xf numFmtId="41" fontId="9" fillId="0" borderId="0" xfId="2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1" fillId="0" borderId="37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  <xf numFmtId="41" fontId="9" fillId="0" borderId="1" xfId="21" applyFont="1" applyBorder="1" applyAlignment="1">
      <alignment vertical="center" shrinkToFit="1"/>
    </xf>
    <xf numFmtId="0" fontId="9" fillId="0" borderId="9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1" fontId="9" fillId="0" borderId="38" xfId="2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41" fontId="9" fillId="0" borderId="23" xfId="21" applyFont="1" applyBorder="1" applyAlignment="1">
      <alignment horizontal="center" vertical="center"/>
    </xf>
    <xf numFmtId="41" fontId="10" fillId="0" borderId="46" xfId="2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1" fontId="12" fillId="0" borderId="3" xfId="21" applyFont="1" applyBorder="1" applyAlignment="1">
      <alignment horizontal="center" vertical="center"/>
    </xf>
    <xf numFmtId="41" fontId="12" fillId="0" borderId="17" xfId="0" applyNumberFormat="1" applyFont="1" applyBorder="1" applyAlignment="1">
      <alignment vertical="center"/>
    </xf>
    <xf numFmtId="0" fontId="9" fillId="0" borderId="3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41" fontId="0" fillId="0" borderId="0" xfId="21" applyFont="1" applyBorder="1" applyAlignment="1">
      <alignment vertical="center" shrinkToFit="1"/>
    </xf>
    <xf numFmtId="0" fontId="9" fillId="0" borderId="47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41" fontId="9" fillId="0" borderId="5" xfId="21" applyFont="1" applyBorder="1" applyAlignment="1">
      <alignment vertical="center"/>
    </xf>
    <xf numFmtId="41" fontId="9" fillId="0" borderId="35" xfId="21" applyFont="1" applyBorder="1" applyAlignment="1">
      <alignment horizontal="center" vertical="center"/>
    </xf>
    <xf numFmtId="41" fontId="9" fillId="0" borderId="48" xfId="21" applyFont="1" applyBorder="1" applyAlignment="1">
      <alignment vertical="center" shrinkToFit="1"/>
    </xf>
    <xf numFmtId="0" fontId="9" fillId="0" borderId="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41" fontId="10" fillId="0" borderId="2" xfId="0" applyNumberFormat="1" applyFont="1" applyBorder="1" applyAlignment="1">
      <alignment horizontal="left" vertical="center" shrinkToFit="1"/>
    </xf>
    <xf numFmtId="41" fontId="12" fillId="0" borderId="2" xfId="0" applyNumberFormat="1" applyFont="1" applyBorder="1" applyAlignment="1">
      <alignment horizontal="left" vertical="center" shrinkToFit="1"/>
    </xf>
    <xf numFmtId="41" fontId="9" fillId="0" borderId="2" xfId="0" applyNumberFormat="1" applyFont="1" applyBorder="1" applyAlignment="1">
      <alignment horizontal="left" vertical="center" shrinkToFit="1"/>
    </xf>
    <xf numFmtId="41" fontId="9" fillId="0" borderId="14" xfId="0" applyNumberFormat="1" applyFont="1" applyBorder="1" applyAlignment="1">
      <alignment horizontal="left" vertical="center" shrinkToFit="1"/>
    </xf>
    <xf numFmtId="41" fontId="11" fillId="0" borderId="2" xfId="0" applyNumberFormat="1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49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10" fillId="0" borderId="50" xfId="0" applyFont="1" applyBorder="1" applyAlignment="1">
      <alignment horizontal="left" vertical="center" shrinkToFit="1"/>
    </xf>
    <xf numFmtId="0" fontId="9" fillId="0" borderId="50" xfId="0" applyFont="1" applyBorder="1" applyAlignment="1">
      <alignment horizontal="left" vertical="center" shrinkToFit="1"/>
    </xf>
    <xf numFmtId="0" fontId="9" fillId="0" borderId="51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53" xfId="0" applyFont="1" applyBorder="1" applyAlignment="1">
      <alignment horizontal="left" vertical="center" shrinkToFit="1"/>
    </xf>
    <xf numFmtId="0" fontId="9" fillId="0" borderId="44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41" fontId="9" fillId="0" borderId="27" xfId="21" applyFont="1" applyBorder="1" applyAlignment="1">
      <alignment horizontal="center" vertical="center"/>
    </xf>
    <xf numFmtId="41" fontId="9" fillId="0" borderId="54" xfId="21" applyFont="1" applyBorder="1" applyAlignment="1">
      <alignment horizontal="center" vertical="center"/>
    </xf>
    <xf numFmtId="41" fontId="9" fillId="0" borderId="55" xfId="0" applyNumberFormat="1" applyFont="1" applyBorder="1" applyAlignment="1">
      <alignment horizontal="center" vertical="center"/>
    </xf>
    <xf numFmtId="41" fontId="11" fillId="0" borderId="5" xfId="21" applyFont="1" applyBorder="1" applyAlignment="1">
      <alignment vertical="center"/>
    </xf>
    <xf numFmtId="41" fontId="9" fillId="0" borderId="0" xfId="21" applyFont="1" applyFill="1" applyBorder="1" applyAlignment="1">
      <alignment vertical="center" shrinkToFit="1"/>
    </xf>
    <xf numFmtId="41" fontId="11" fillId="0" borderId="23" xfId="21" applyFont="1" applyBorder="1" applyAlignment="1">
      <alignment vertical="center"/>
    </xf>
    <xf numFmtId="41" fontId="11" fillId="0" borderId="5" xfId="2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41" fontId="11" fillId="0" borderId="5" xfId="0" applyNumberFormat="1" applyFont="1" applyBorder="1" applyAlignment="1">
      <alignment horizontal="center" vertical="center"/>
    </xf>
    <xf numFmtId="41" fontId="9" fillId="0" borderId="56" xfId="21" applyFont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41" fontId="0" fillId="0" borderId="0" xfId="0" applyNumberFormat="1" applyAlignment="1">
      <alignment vertical="center"/>
    </xf>
    <xf numFmtId="0" fontId="9" fillId="0" borderId="36" xfId="0" applyFont="1" applyBorder="1" applyAlignment="1">
      <alignment horizontal="center" vertical="center"/>
    </xf>
    <xf numFmtId="41" fontId="9" fillId="0" borderId="1" xfId="2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 shrinkToFit="1"/>
    </xf>
    <xf numFmtId="0" fontId="11" fillId="0" borderId="23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left" vertical="center" wrapText="1" shrinkToFit="1"/>
    </xf>
    <xf numFmtId="0" fontId="9" fillId="0" borderId="27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left" vertical="center" wrapText="1" shrinkToFit="1"/>
    </xf>
    <xf numFmtId="0" fontId="9" fillId="0" borderId="47" xfId="0" applyFont="1" applyBorder="1" applyAlignment="1">
      <alignment horizontal="left" vertical="center" wrapText="1" shrinkToFit="1"/>
    </xf>
    <xf numFmtId="41" fontId="9" fillId="0" borderId="24" xfId="21" applyFont="1" applyBorder="1" applyAlignment="1">
      <alignment horizontal="right" vertical="center"/>
    </xf>
    <xf numFmtId="9" fontId="0" fillId="0" borderId="0" xfId="20" applyFont="1" applyAlignment="1">
      <alignment vertical="center"/>
    </xf>
    <xf numFmtId="9" fontId="9" fillId="0" borderId="22" xfId="20" applyFont="1" applyBorder="1" applyAlignment="1">
      <alignment vertical="center"/>
    </xf>
    <xf numFmtId="9" fontId="4" fillId="0" borderId="0" xfId="20" applyFont="1" applyBorder="1" applyAlignment="1">
      <alignment horizontal="center" vertical="center"/>
    </xf>
    <xf numFmtId="9" fontId="9" fillId="0" borderId="0" xfId="20" applyFont="1" applyBorder="1" applyAlignment="1">
      <alignment vertical="center"/>
    </xf>
    <xf numFmtId="9" fontId="9" fillId="0" borderId="31" xfId="20" applyFont="1" applyBorder="1" applyAlignment="1">
      <alignment vertical="center"/>
    </xf>
    <xf numFmtId="9" fontId="9" fillId="0" borderId="1" xfId="20" applyFont="1" applyBorder="1" applyAlignment="1">
      <alignment vertical="center"/>
    </xf>
    <xf numFmtId="9" fontId="3" fillId="0" borderId="0" xfId="20" applyFont="1" applyBorder="1" applyAlignment="1">
      <alignment vertical="center"/>
    </xf>
    <xf numFmtId="9" fontId="3" fillId="0" borderId="1" xfId="20" applyFont="1" applyBorder="1" applyAlignment="1">
      <alignment vertical="center"/>
    </xf>
    <xf numFmtId="9" fontId="3" fillId="0" borderId="0" xfId="20" applyFont="1" applyAlignment="1">
      <alignment vertical="center"/>
    </xf>
    <xf numFmtId="0" fontId="0" fillId="0" borderId="0" xfId="0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176" fontId="9" fillId="0" borderId="45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1" fontId="10" fillId="0" borderId="46" xfId="21" applyFont="1" applyFill="1" applyBorder="1" applyAlignment="1">
      <alignment horizontal="center" vertical="center"/>
    </xf>
    <xf numFmtId="41" fontId="10" fillId="0" borderId="2" xfId="21" applyFont="1" applyFill="1" applyBorder="1" applyAlignment="1">
      <alignment horizontal="center" vertical="center"/>
    </xf>
    <xf numFmtId="41" fontId="10" fillId="0" borderId="10" xfId="21" applyFont="1" applyFill="1" applyBorder="1" applyAlignment="1">
      <alignment horizontal="center" vertical="center"/>
    </xf>
    <xf numFmtId="41" fontId="12" fillId="0" borderId="3" xfId="21" applyFont="1" applyFill="1" applyBorder="1" applyAlignment="1">
      <alignment horizontal="center" vertical="center"/>
    </xf>
    <xf numFmtId="41" fontId="10" fillId="4" borderId="2" xfId="2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1" fontId="10" fillId="4" borderId="46" xfId="21" applyFont="1" applyFill="1" applyBorder="1" applyAlignment="1">
      <alignment horizontal="center" vertical="center"/>
    </xf>
    <xf numFmtId="41" fontId="10" fillId="4" borderId="10" xfId="2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center" vertical="center" shrinkToFit="1"/>
    </xf>
    <xf numFmtId="183" fontId="10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0" xfId="21" applyFont="1" applyFill="1" applyBorder="1" applyAlignment="1">
      <alignment horizontal="center" vertical="center"/>
    </xf>
    <xf numFmtId="41" fontId="11" fillId="0" borderId="0" xfId="2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179" fontId="22" fillId="0" borderId="0" xfId="0" applyNumberFormat="1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179" fontId="24" fillId="0" borderId="0" xfId="0" applyNumberFormat="1" applyFont="1" applyBorder="1" applyAlignment="1">
      <alignment horizontal="center" vertical="center" shrinkToFit="1"/>
    </xf>
    <xf numFmtId="41" fontId="25" fillId="0" borderId="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7" fontId="23" fillId="0" borderId="0" xfId="0" applyNumberFormat="1" applyFont="1" applyBorder="1" applyAlignment="1">
      <alignment horizontal="center" vertical="center" shrinkToFit="1"/>
    </xf>
    <xf numFmtId="41" fontId="25" fillId="0" borderId="0" xfId="21" applyFont="1" applyBorder="1" applyAlignment="1">
      <alignment vertical="center"/>
    </xf>
    <xf numFmtId="41" fontId="12" fillId="4" borderId="3" xfId="2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41" fontId="10" fillId="5" borderId="46" xfId="21" applyFont="1" applyFill="1" applyBorder="1" applyAlignment="1">
      <alignment horizontal="center" vertical="center"/>
    </xf>
    <xf numFmtId="41" fontId="10" fillId="5" borderId="2" xfId="21" applyFont="1" applyFill="1" applyBorder="1" applyAlignment="1">
      <alignment horizontal="center" vertical="center"/>
    </xf>
    <xf numFmtId="41" fontId="10" fillId="5" borderId="10" xfId="21" applyFont="1" applyFill="1" applyBorder="1" applyAlignment="1">
      <alignment horizontal="center" vertical="center"/>
    </xf>
    <xf numFmtId="41" fontId="12" fillId="5" borderId="3" xfId="21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41" fontId="10" fillId="6" borderId="46" xfId="21" applyFont="1" applyFill="1" applyBorder="1" applyAlignment="1">
      <alignment horizontal="center" vertical="center"/>
    </xf>
    <xf numFmtId="41" fontId="10" fillId="6" borderId="2" xfId="21" applyFont="1" applyFill="1" applyBorder="1" applyAlignment="1">
      <alignment horizontal="center" vertical="center"/>
    </xf>
    <xf numFmtId="41" fontId="10" fillId="6" borderId="10" xfId="21" applyFont="1" applyFill="1" applyBorder="1" applyAlignment="1">
      <alignment horizontal="center" vertical="center"/>
    </xf>
    <xf numFmtId="41" fontId="12" fillId="6" borderId="3" xfId="2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41" fontId="11" fillId="2" borderId="14" xfId="21" applyFont="1" applyFill="1" applyBorder="1" applyAlignment="1">
      <alignment horizontal="center" vertical="center"/>
    </xf>
    <xf numFmtId="41" fontId="11" fillId="2" borderId="17" xfId="21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1" fontId="11" fillId="2" borderId="17" xfId="0" applyNumberFormat="1" applyFont="1" applyFill="1" applyBorder="1" applyAlignment="1">
      <alignment horizontal="center" vertical="center"/>
    </xf>
    <xf numFmtId="41" fontId="27" fillId="0" borderId="0" xfId="21" applyFont="1" applyBorder="1" applyAlignment="1">
      <alignment horizontal="center" vertical="center" shrinkToFit="1"/>
    </xf>
    <xf numFmtId="41" fontId="23" fillId="0" borderId="0" xfId="0" applyNumberFormat="1" applyFont="1" applyBorder="1" applyAlignment="1">
      <alignment horizontal="center" vertical="center" shrinkToFit="1"/>
    </xf>
    <xf numFmtId="41" fontId="27" fillId="0" borderId="0" xfId="0" applyNumberFormat="1" applyFont="1" applyBorder="1" applyAlignment="1">
      <alignment horizontal="center" vertical="center" shrinkToFit="1"/>
    </xf>
    <xf numFmtId="177" fontId="9" fillId="0" borderId="0" xfId="0" applyNumberFormat="1" applyFont="1" applyBorder="1" applyAlignment="1">
      <alignment vertical="center" shrinkToFit="1"/>
    </xf>
    <xf numFmtId="41" fontId="9" fillId="0" borderId="21" xfId="21" applyFont="1" applyBorder="1" applyAlignment="1">
      <alignment vertical="center"/>
    </xf>
    <xf numFmtId="0" fontId="11" fillId="0" borderId="7" xfId="0" applyFont="1" applyBorder="1" applyAlignment="1">
      <alignment horizontal="left" vertical="center" wrapText="1"/>
    </xf>
    <xf numFmtId="176" fontId="9" fillId="0" borderId="35" xfId="21" applyNumberFormat="1" applyFont="1" applyBorder="1" applyAlignment="1">
      <alignment horizontal="center" vertical="center"/>
    </xf>
    <xf numFmtId="41" fontId="9" fillId="0" borderId="40" xfId="21" applyFont="1" applyFill="1" applyBorder="1" applyAlignment="1">
      <alignment vertical="center" shrinkToFit="1"/>
    </xf>
    <xf numFmtId="0" fontId="9" fillId="0" borderId="27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shrinkToFit="1"/>
    </xf>
    <xf numFmtId="41" fontId="12" fillId="0" borderId="5" xfId="0" applyNumberFormat="1" applyFont="1" applyBorder="1" applyAlignment="1">
      <alignment horizontal="left" vertical="center" shrinkToFit="1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" xfId="0" applyBorder="1" applyAlignment="1">
      <alignment vertical="center"/>
    </xf>
    <xf numFmtId="41" fontId="9" fillId="0" borderId="31" xfId="20" applyNumberFormat="1" applyFont="1" applyBorder="1" applyAlignment="1">
      <alignment vertical="center"/>
    </xf>
    <xf numFmtId="9" fontId="9" fillId="0" borderId="25" xfId="20" applyFont="1" applyBorder="1" applyAlignment="1">
      <alignment vertical="center"/>
    </xf>
    <xf numFmtId="9" fontId="9" fillId="0" borderId="20" xfId="20" applyFont="1" applyBorder="1" applyAlignment="1">
      <alignment vertical="center"/>
    </xf>
    <xf numFmtId="0" fontId="10" fillId="6" borderId="2" xfId="0" applyFont="1" applyFill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/>
    </xf>
    <xf numFmtId="41" fontId="12" fillId="0" borderId="60" xfId="21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41" fontId="12" fillId="0" borderId="62" xfId="0" applyNumberFormat="1" applyFont="1" applyBorder="1" applyAlignment="1">
      <alignment vertical="center"/>
    </xf>
    <xf numFmtId="0" fontId="14" fillId="0" borderId="63" xfId="0" applyFont="1" applyBorder="1" applyAlignment="1">
      <alignment horizontal="center" vertical="center"/>
    </xf>
    <xf numFmtId="9" fontId="14" fillId="0" borderId="64" xfId="2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wrapText="1"/>
    </xf>
    <xf numFmtId="41" fontId="9" fillId="0" borderId="40" xfId="21" applyFont="1" applyFill="1" applyBorder="1" applyAlignment="1">
      <alignment vertical="center"/>
    </xf>
    <xf numFmtId="41" fontId="14" fillId="0" borderId="65" xfId="21" applyFont="1" applyBorder="1" applyAlignment="1">
      <alignment horizontal="center" vertical="center" shrinkToFit="1"/>
    </xf>
    <xf numFmtId="41" fontId="9" fillId="0" borderId="25" xfId="20" applyNumberFormat="1" applyFont="1" applyBorder="1" applyAlignment="1">
      <alignment vertical="center"/>
    </xf>
    <xf numFmtId="41" fontId="9" fillId="0" borderId="30" xfId="20" applyNumberFormat="1" applyFont="1" applyBorder="1" applyAlignment="1">
      <alignment vertical="center"/>
    </xf>
    <xf numFmtId="41" fontId="9" fillId="0" borderId="10" xfId="20" applyNumberFormat="1" applyFont="1" applyBorder="1" applyAlignment="1">
      <alignment vertical="center"/>
    </xf>
    <xf numFmtId="41" fontId="9" fillId="0" borderId="29" xfId="21" applyFont="1" applyBorder="1" applyAlignment="1">
      <alignment vertical="center"/>
    </xf>
    <xf numFmtId="41" fontId="9" fillId="0" borderId="32" xfId="21" applyFont="1" applyBorder="1" applyAlignment="1">
      <alignment vertical="center"/>
    </xf>
    <xf numFmtId="41" fontId="9" fillId="0" borderId="10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9" fillId="0" borderId="30" xfId="0" applyNumberFormat="1" applyFont="1" applyBorder="1" applyAlignment="1">
      <alignment horizontal="left" vertical="center" shrinkToFit="1"/>
    </xf>
    <xf numFmtId="41" fontId="9" fillId="0" borderId="30" xfId="0" applyNumberFormat="1" applyFont="1" applyBorder="1" applyAlignment="1">
      <alignment horizontal="center" vertical="center" wrapText="1"/>
    </xf>
    <xf numFmtId="41" fontId="9" fillId="0" borderId="30" xfId="0" applyNumberFormat="1" applyFont="1" applyBorder="1" applyAlignment="1">
      <alignment horizontal="left" vertical="center"/>
    </xf>
    <xf numFmtId="41" fontId="9" fillId="0" borderId="25" xfId="0" applyNumberFormat="1" applyFont="1" applyBorder="1" applyAlignment="1">
      <alignment horizontal="left" vertical="center"/>
    </xf>
    <xf numFmtId="41" fontId="9" fillId="0" borderId="25" xfId="0" applyNumberFormat="1" applyFont="1" applyBorder="1" applyAlignment="1">
      <alignment horizontal="center" vertical="center" wrapText="1"/>
    </xf>
    <xf numFmtId="41" fontId="9" fillId="0" borderId="20" xfId="0" applyNumberFormat="1" applyFont="1" applyBorder="1" applyAlignment="1">
      <alignment horizontal="left" vertical="center"/>
    </xf>
    <xf numFmtId="41" fontId="9" fillId="0" borderId="10" xfId="0" applyNumberFormat="1" applyFont="1" applyBorder="1" applyAlignment="1">
      <alignment horizontal="left" vertical="center" wrapText="1"/>
    </xf>
    <xf numFmtId="41" fontId="11" fillId="0" borderId="9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41" fontId="9" fillId="0" borderId="43" xfId="0" applyNumberFormat="1" applyFont="1" applyBorder="1" applyAlignment="1">
      <alignment horizontal="left" vertical="center"/>
    </xf>
    <xf numFmtId="41" fontId="10" fillId="0" borderId="8" xfId="0" applyNumberFormat="1" applyFont="1" applyBorder="1" applyAlignment="1">
      <alignment horizontal="left" vertical="center" shrinkToFit="1"/>
    </xf>
    <xf numFmtId="41" fontId="12" fillId="0" borderId="8" xfId="0" applyNumberFormat="1" applyFont="1" applyBorder="1" applyAlignment="1">
      <alignment horizontal="left" vertical="center" shrinkToFit="1"/>
    </xf>
    <xf numFmtId="41" fontId="10" fillId="0" borderId="15" xfId="0" applyNumberFormat="1" applyFont="1" applyBorder="1" applyAlignment="1">
      <alignment horizontal="left" vertical="center" shrinkToFit="1"/>
    </xf>
    <xf numFmtId="41" fontId="10" fillId="0" borderId="23" xfId="0" applyNumberFormat="1" applyFont="1" applyBorder="1" applyAlignment="1">
      <alignment horizontal="left" vertical="center" shrinkToFit="1"/>
    </xf>
    <xf numFmtId="41" fontId="9" fillId="0" borderId="31" xfId="0" applyNumberFormat="1" applyFont="1" applyBorder="1" applyAlignment="1">
      <alignment horizontal="left" vertical="center"/>
    </xf>
    <xf numFmtId="41" fontId="12" fillId="0" borderId="23" xfId="0" applyNumberFormat="1" applyFont="1" applyBorder="1" applyAlignment="1">
      <alignment horizontal="left" vertical="center" shrinkToFit="1"/>
    </xf>
    <xf numFmtId="0" fontId="12" fillId="0" borderId="26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41" fontId="12" fillId="0" borderId="27" xfId="0" applyNumberFormat="1" applyFont="1" applyBorder="1" applyAlignment="1">
      <alignment horizontal="left" vertical="center" shrinkToFit="1"/>
    </xf>
    <xf numFmtId="41" fontId="12" fillId="0" borderId="55" xfId="0" applyNumberFormat="1" applyFont="1" applyBorder="1" applyAlignment="1">
      <alignment horizontal="left" vertical="center" shrinkToFit="1"/>
    </xf>
    <xf numFmtId="41" fontId="12" fillId="0" borderId="21" xfId="0" applyNumberFormat="1" applyFont="1" applyBorder="1" applyAlignment="1">
      <alignment horizontal="left" vertical="center" shrinkToFit="1"/>
    </xf>
    <xf numFmtId="0" fontId="12" fillId="0" borderId="66" xfId="0" applyFont="1" applyBorder="1" applyAlignment="1">
      <alignment horizontal="center" vertical="center" shrinkToFit="1"/>
    </xf>
    <xf numFmtId="41" fontId="9" fillId="0" borderId="3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 shrinkToFit="1"/>
    </xf>
    <xf numFmtId="41" fontId="12" fillId="0" borderId="67" xfId="0" applyNumberFormat="1" applyFont="1" applyBorder="1" applyAlignment="1">
      <alignment horizontal="left" vertical="center" shrinkToFit="1"/>
    </xf>
    <xf numFmtId="0" fontId="12" fillId="0" borderId="6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0" fillId="0" borderId="27" xfId="0" applyBorder="1" applyAlignment="1">
      <alignment vertical="center" shrinkToFit="1"/>
    </xf>
    <xf numFmtId="0" fontId="10" fillId="0" borderId="20" xfId="0" applyFont="1" applyBorder="1" applyAlignment="1">
      <alignment horizontal="left" vertical="center" shrinkToFit="1"/>
    </xf>
    <xf numFmtId="41" fontId="10" fillId="0" borderId="21" xfId="0" applyNumberFormat="1" applyFont="1" applyBorder="1" applyAlignment="1">
      <alignment horizontal="left" vertical="center" shrinkToFit="1"/>
    </xf>
    <xf numFmtId="0" fontId="10" fillId="0" borderId="69" xfId="0" applyFont="1" applyBorder="1" applyAlignment="1">
      <alignment horizontal="left" vertical="center" shrinkToFit="1"/>
    </xf>
    <xf numFmtId="0" fontId="9" fillId="0" borderId="70" xfId="0" applyFont="1" applyBorder="1" applyAlignment="1">
      <alignment horizontal="left" vertical="center" shrinkToFit="1"/>
    </xf>
    <xf numFmtId="41" fontId="9" fillId="0" borderId="31" xfId="21" applyFont="1" applyBorder="1" applyAlignment="1">
      <alignment vertical="center"/>
    </xf>
    <xf numFmtId="41" fontId="10" fillId="0" borderId="67" xfId="0" applyNumberFormat="1" applyFont="1" applyBorder="1" applyAlignment="1">
      <alignment horizontal="left" vertical="center" shrinkToFit="1"/>
    </xf>
    <xf numFmtId="42" fontId="9" fillId="0" borderId="0" xfId="0" applyNumberFormat="1" applyFont="1" applyBorder="1" applyAlignment="1">
      <alignment vertical="center"/>
    </xf>
    <xf numFmtId="41" fontId="11" fillId="2" borderId="71" xfId="0" applyNumberFormat="1" applyFont="1" applyFill="1" applyBorder="1" applyAlignment="1">
      <alignment vertical="center"/>
    </xf>
    <xf numFmtId="41" fontId="11" fillId="0" borderId="0" xfId="20" applyNumberFormat="1" applyFont="1" applyBorder="1" applyAlignment="1">
      <alignment vertical="center"/>
    </xf>
    <xf numFmtId="41" fontId="11" fillId="0" borderId="25" xfId="20" applyNumberFormat="1" applyFont="1" applyBorder="1" applyAlignment="1">
      <alignment vertical="center"/>
    </xf>
    <xf numFmtId="41" fontId="11" fillId="0" borderId="30" xfId="20" applyNumberFormat="1" applyFont="1" applyBorder="1" applyAlignment="1">
      <alignment vertical="center"/>
    </xf>
    <xf numFmtId="41" fontId="9" fillId="0" borderId="22" xfId="21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41" fontId="11" fillId="0" borderId="43" xfId="20" applyNumberFormat="1" applyFont="1" applyBorder="1" applyAlignment="1">
      <alignment vertical="center"/>
    </xf>
    <xf numFmtId="0" fontId="11" fillId="0" borderId="45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1" fontId="11" fillId="0" borderId="23" xfId="0" applyNumberFormat="1" applyFont="1" applyBorder="1" applyAlignment="1">
      <alignment horizontal="left" vertical="center" shrinkToFit="1"/>
    </xf>
    <xf numFmtId="41" fontId="0" fillId="0" borderId="2" xfId="21" applyFont="1" applyBorder="1" applyAlignment="1">
      <alignment vertical="center" shrinkToFit="1"/>
    </xf>
    <xf numFmtId="41" fontId="29" fillId="0" borderId="2" xfId="21" applyFont="1" applyBorder="1" applyAlignment="1">
      <alignment vertical="center" shrinkToFit="1"/>
    </xf>
    <xf numFmtId="41" fontId="12" fillId="0" borderId="12" xfId="0" applyNumberFormat="1" applyFont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10" fillId="4" borderId="2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 shrinkToFit="1"/>
    </xf>
    <xf numFmtId="0" fontId="10" fillId="5" borderId="26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41" fontId="10" fillId="7" borderId="46" xfId="21" applyFont="1" applyFill="1" applyBorder="1" applyAlignment="1">
      <alignment horizontal="center" vertical="center"/>
    </xf>
    <xf numFmtId="41" fontId="10" fillId="7" borderId="2" xfId="21" applyFont="1" applyFill="1" applyBorder="1" applyAlignment="1">
      <alignment horizontal="center" vertical="center"/>
    </xf>
    <xf numFmtId="41" fontId="10" fillId="7" borderId="10" xfId="21" applyFont="1" applyFill="1" applyBorder="1" applyAlignment="1">
      <alignment horizontal="center" vertical="center"/>
    </xf>
    <xf numFmtId="41" fontId="12" fillId="7" borderId="3" xfId="21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vertical="center"/>
    </xf>
    <xf numFmtId="0" fontId="10" fillId="4" borderId="26" xfId="0" applyFont="1" applyFill="1" applyBorder="1" applyAlignment="1">
      <alignment vertical="center" shrinkToFit="1"/>
    </xf>
    <xf numFmtId="0" fontId="10" fillId="4" borderId="26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0" fontId="10" fillId="4" borderId="49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 shrinkToFit="1"/>
    </xf>
    <xf numFmtId="41" fontId="9" fillId="0" borderId="0" xfId="21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9" fontId="3" fillId="0" borderId="65" xfId="2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41" fontId="9" fillId="0" borderId="35" xfId="21" applyFont="1" applyBorder="1" applyAlignment="1">
      <alignment vertical="center" shrinkToFit="1"/>
    </xf>
    <xf numFmtId="0" fontId="3" fillId="0" borderId="36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41" fontId="12" fillId="0" borderId="46" xfId="2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0" fontId="10" fillId="0" borderId="26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5" borderId="26" xfId="0" applyFont="1" applyFill="1" applyBorder="1" applyAlignment="1">
      <alignment vertical="center" shrinkToFit="1"/>
    </xf>
    <xf numFmtId="0" fontId="10" fillId="5" borderId="23" xfId="0" applyFont="1" applyFill="1" applyBorder="1" applyAlignment="1">
      <alignment vertical="center" shrinkToFit="1"/>
    </xf>
    <xf numFmtId="0" fontId="10" fillId="0" borderId="52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5" borderId="52" xfId="0" applyFont="1" applyFill="1" applyBorder="1" applyAlignment="1">
      <alignment vertical="center"/>
    </xf>
    <xf numFmtId="0" fontId="10" fillId="5" borderId="49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1" fontId="9" fillId="0" borderId="21" xfId="21" applyFont="1" applyBorder="1" applyAlignment="1">
      <alignment horizontal="center" vertical="center" shrinkToFit="1"/>
    </xf>
    <xf numFmtId="41" fontId="9" fillId="0" borderId="21" xfId="21" applyFont="1" applyBorder="1" applyAlignment="1">
      <alignment horizontal="left" vertical="center" shrinkToFit="1"/>
    </xf>
    <xf numFmtId="41" fontId="9" fillId="0" borderId="8" xfId="21" applyFont="1" applyBorder="1" applyAlignment="1">
      <alignment horizontal="left" vertical="center" shrinkToFit="1"/>
    </xf>
    <xf numFmtId="41" fontId="9" fillId="0" borderId="24" xfId="21" applyFont="1" applyBorder="1" applyAlignment="1">
      <alignment horizontal="center" vertical="center" shrinkToFit="1"/>
    </xf>
    <xf numFmtId="41" fontId="9" fillId="0" borderId="32" xfId="21" applyFont="1" applyFill="1" applyBorder="1" applyAlignment="1">
      <alignment horizontal="center" vertical="center" shrinkToFit="1"/>
    </xf>
    <xf numFmtId="41" fontId="9" fillId="0" borderId="0" xfId="21" applyFont="1" applyFill="1" applyBorder="1" applyAlignment="1">
      <alignment vertical="center"/>
    </xf>
    <xf numFmtId="41" fontId="9" fillId="0" borderId="35" xfId="21" applyFont="1" applyBorder="1" applyAlignment="1">
      <alignment horizontal="center" vertical="center" shrinkToFit="1"/>
    </xf>
    <xf numFmtId="41" fontId="9" fillId="0" borderId="29" xfId="21" applyFont="1" applyBorder="1" applyAlignment="1">
      <alignment vertical="center" shrinkToFit="1"/>
    </xf>
    <xf numFmtId="41" fontId="9" fillId="0" borderId="29" xfId="21" applyFont="1" applyBorder="1" applyAlignment="1">
      <alignment vertical="center"/>
    </xf>
    <xf numFmtId="0" fontId="27" fillId="0" borderId="0" xfId="0" applyFont="1" applyBorder="1" applyAlignment="1">
      <alignment horizontal="center" vertical="center" shrinkToFit="1"/>
    </xf>
    <xf numFmtId="41" fontId="30" fillId="0" borderId="0" xfId="21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 shrinkToFit="1"/>
    </xf>
    <xf numFmtId="41" fontId="30" fillId="0" borderId="31" xfId="21" applyFont="1" applyBorder="1" applyAlignment="1">
      <alignment horizontal="left" vertical="center"/>
    </xf>
    <xf numFmtId="41" fontId="9" fillId="0" borderId="20" xfId="0" applyNumberFormat="1" applyFont="1" applyBorder="1" applyAlignment="1">
      <alignment horizontal="center" vertical="center" wrapText="1"/>
    </xf>
    <xf numFmtId="41" fontId="9" fillId="0" borderId="8" xfId="21" applyFont="1" applyBorder="1" applyAlignment="1">
      <alignment vertical="center"/>
    </xf>
    <xf numFmtId="41" fontId="9" fillId="0" borderId="21" xfId="21" applyFont="1" applyBorder="1" applyAlignment="1">
      <alignment vertical="center"/>
    </xf>
    <xf numFmtId="41" fontId="9" fillId="0" borderId="2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shrinkToFit="1"/>
    </xf>
    <xf numFmtId="41" fontId="9" fillId="0" borderId="26" xfId="21" applyNumberFormat="1" applyFont="1" applyBorder="1" applyAlignment="1">
      <alignment vertical="center"/>
    </xf>
    <xf numFmtId="41" fontId="9" fillId="0" borderId="21" xfId="21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41" fontId="9" fillId="0" borderId="35" xfId="2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1" fontId="9" fillId="0" borderId="22" xfId="21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left" vertical="center" shrinkToFit="1"/>
    </xf>
    <xf numFmtId="41" fontId="9" fillId="0" borderId="0" xfId="21" applyFont="1" applyFill="1" applyBorder="1" applyAlignment="1">
      <alignment horizontal="center" vertical="center" shrinkToFit="1"/>
    </xf>
    <xf numFmtId="41" fontId="9" fillId="0" borderId="32" xfId="21" applyFont="1" applyBorder="1" applyAlignment="1">
      <alignment horizontal="left" vertical="center"/>
    </xf>
    <xf numFmtId="41" fontId="9" fillId="0" borderId="45" xfId="2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41" fontId="9" fillId="0" borderId="29" xfId="21" applyFont="1" applyFill="1" applyBorder="1" applyAlignment="1">
      <alignment vertical="center" shrinkToFit="1"/>
    </xf>
    <xf numFmtId="0" fontId="9" fillId="0" borderId="22" xfId="0" applyFont="1" applyBorder="1" applyAlignment="1">
      <alignment horizontal="center" vertical="center" wrapText="1"/>
    </xf>
    <xf numFmtId="41" fontId="9" fillId="0" borderId="31" xfId="21" applyFont="1" applyFill="1" applyBorder="1" applyAlignment="1">
      <alignment horizontal="center" vertical="center"/>
    </xf>
    <xf numFmtId="41" fontId="9" fillId="0" borderId="31" xfId="2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41" fontId="9" fillId="0" borderId="29" xfId="21" applyNumberFormat="1" applyFont="1" applyFill="1" applyBorder="1" applyAlignment="1">
      <alignment vertical="center" shrinkToFit="1"/>
    </xf>
    <xf numFmtId="41" fontId="9" fillId="0" borderId="31" xfId="21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41" fontId="9" fillId="0" borderId="0" xfId="0" applyNumberFormat="1" applyFont="1" applyBorder="1" applyAlignment="1">
      <alignment horizontal="center" vertical="center" wrapText="1"/>
    </xf>
    <xf numFmtId="41" fontId="9" fillId="0" borderId="22" xfId="21" applyFont="1" applyBorder="1" applyAlignment="1">
      <alignment horizontal="right" vertical="center"/>
    </xf>
    <xf numFmtId="41" fontId="9" fillId="0" borderId="32" xfId="21" applyFont="1" applyFill="1" applyBorder="1" applyAlignment="1">
      <alignment horizontal="left" vertical="center"/>
    </xf>
    <xf numFmtId="41" fontId="15" fillId="0" borderId="29" xfId="21" applyFont="1" applyBorder="1" applyAlignment="1">
      <alignment horizontal="left" vertical="center"/>
    </xf>
    <xf numFmtId="41" fontId="0" fillId="0" borderId="28" xfId="21" applyFont="1" applyBorder="1" applyAlignment="1">
      <alignment vertical="center"/>
    </xf>
    <xf numFmtId="9" fontId="9" fillId="0" borderId="23" xfId="20" applyFont="1" applyBorder="1" applyAlignment="1">
      <alignment vertical="center"/>
    </xf>
    <xf numFmtId="41" fontId="12" fillId="0" borderId="65" xfId="21" applyFont="1" applyBorder="1" applyAlignment="1">
      <alignment horizontal="center" vertical="center" wrapText="1" shrinkToFit="1"/>
    </xf>
    <xf numFmtId="41" fontId="9" fillId="0" borderId="2" xfId="21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182" fontId="9" fillId="0" borderId="31" xfId="0" applyNumberFormat="1" applyFont="1" applyBorder="1" applyAlignment="1">
      <alignment vertical="center"/>
    </xf>
    <xf numFmtId="182" fontId="9" fillId="0" borderId="22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41" fontId="9" fillId="0" borderId="38" xfId="21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182" fontId="9" fillId="0" borderId="24" xfId="0" applyNumberFormat="1" applyFont="1" applyBorder="1" applyAlignment="1">
      <alignment vertical="center"/>
    </xf>
    <xf numFmtId="41" fontId="9" fillId="0" borderId="28" xfId="21" applyFont="1" applyFill="1" applyBorder="1" applyAlignment="1">
      <alignment vertical="center" shrinkToFit="1"/>
    </xf>
    <xf numFmtId="0" fontId="0" fillId="0" borderId="4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9" fontId="9" fillId="0" borderId="4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41" fontId="9" fillId="0" borderId="28" xfId="21" applyNumberFormat="1" applyFont="1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41" fontId="12" fillId="0" borderId="3" xfId="0" applyNumberFormat="1" applyFont="1" applyBorder="1" applyAlignment="1">
      <alignment horizontal="left" vertical="center" shrinkToFit="1"/>
    </xf>
    <xf numFmtId="41" fontId="15" fillId="0" borderId="22" xfId="21" applyFont="1" applyBorder="1" applyAlignment="1">
      <alignment vertical="center"/>
    </xf>
    <xf numFmtId="41" fontId="15" fillId="0" borderId="0" xfId="21" applyFont="1" applyBorder="1" applyAlignment="1">
      <alignment vertical="center"/>
    </xf>
    <xf numFmtId="0" fontId="0" fillId="0" borderId="50" xfId="0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right" vertical="center" shrinkToFit="1"/>
    </xf>
    <xf numFmtId="177" fontId="9" fillId="0" borderId="31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41" fontId="9" fillId="0" borderId="31" xfId="21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 shrinkToFit="1"/>
    </xf>
    <xf numFmtId="177" fontId="9" fillId="0" borderId="0" xfId="0" applyNumberFormat="1" applyFont="1" applyBorder="1" applyAlignment="1">
      <alignment horizontal="center" vertical="center"/>
    </xf>
    <xf numFmtId="41" fontId="12" fillId="8" borderId="60" xfId="21" applyFont="1" applyFill="1" applyBorder="1" applyAlignment="1">
      <alignment horizontal="center" vertical="center"/>
    </xf>
    <xf numFmtId="41" fontId="9" fillId="0" borderId="32" xfId="21" applyFont="1" applyBorder="1" applyAlignment="1">
      <alignment vertical="center"/>
    </xf>
    <xf numFmtId="0" fontId="0" fillId="0" borderId="29" xfId="0" applyBorder="1" applyAlignment="1">
      <alignment vertical="center"/>
    </xf>
    <xf numFmtId="41" fontId="9" fillId="0" borderId="32" xfId="21" applyFont="1" applyBorder="1" applyAlignment="1">
      <alignment vertical="center" shrinkToFit="1"/>
    </xf>
    <xf numFmtId="41" fontId="9" fillId="0" borderId="26" xfId="20" applyNumberFormat="1" applyFont="1" applyBorder="1" applyAlignment="1">
      <alignment vertical="center"/>
    </xf>
    <xf numFmtId="41" fontId="0" fillId="0" borderId="38" xfId="21" applyFont="1" applyBorder="1" applyAlignment="1">
      <alignment vertical="center"/>
    </xf>
    <xf numFmtId="41" fontId="0" fillId="0" borderId="42" xfId="2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41" fontId="10" fillId="0" borderId="14" xfId="0" applyNumberFormat="1" applyFont="1" applyBorder="1" applyAlignment="1">
      <alignment horizontal="left" vertical="center" shrinkToFit="1"/>
    </xf>
    <xf numFmtId="0" fontId="10" fillId="4" borderId="26" xfId="0" applyFont="1" applyFill="1" applyBorder="1" applyAlignment="1">
      <alignment horizontal="center" vertical="center"/>
    </xf>
    <xf numFmtId="0" fontId="10" fillId="6" borderId="52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shrinkToFit="1"/>
    </xf>
    <xf numFmtId="41" fontId="9" fillId="0" borderId="22" xfId="21" applyFont="1" applyBorder="1" applyAlignment="1">
      <alignment vertical="center" shrinkToFit="1"/>
    </xf>
    <xf numFmtId="41" fontId="9" fillId="0" borderId="1" xfId="21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42" fontId="9" fillId="0" borderId="1" xfId="0" applyNumberFormat="1" applyFont="1" applyBorder="1" applyAlignment="1">
      <alignment vertical="center"/>
    </xf>
    <xf numFmtId="41" fontId="9" fillId="0" borderId="20" xfId="2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41" fontId="9" fillId="0" borderId="24" xfId="21" applyFont="1" applyBorder="1" applyAlignment="1">
      <alignment horizontal="left" vertical="center" shrinkToFit="1"/>
    </xf>
    <xf numFmtId="41" fontId="9" fillId="0" borderId="41" xfId="21" applyFont="1" applyBorder="1" applyAlignment="1">
      <alignment horizontal="center" vertical="center"/>
    </xf>
    <xf numFmtId="9" fontId="9" fillId="0" borderId="11" xfId="20" applyFont="1" applyBorder="1" applyAlignment="1">
      <alignment vertical="center"/>
    </xf>
    <xf numFmtId="41" fontId="9" fillId="0" borderId="0" xfId="20" applyNumberFormat="1" applyFont="1" applyBorder="1" applyAlignment="1">
      <alignment vertical="center"/>
    </xf>
    <xf numFmtId="41" fontId="9" fillId="0" borderId="22" xfId="21" applyFont="1" applyBorder="1" applyAlignment="1">
      <alignment horizontal="left" vertical="center" indent="1"/>
    </xf>
    <xf numFmtId="0" fontId="9" fillId="0" borderId="2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1" fontId="9" fillId="8" borderId="38" xfId="21" applyFont="1" applyFill="1" applyBorder="1" applyAlignment="1">
      <alignment vertical="center" shrinkToFit="1"/>
    </xf>
    <xf numFmtId="41" fontId="9" fillId="0" borderId="22" xfId="0" applyNumberFormat="1" applyFont="1" applyBorder="1" applyAlignment="1">
      <alignment horizontal="left" vertical="center"/>
    </xf>
    <xf numFmtId="41" fontId="30" fillId="0" borderId="1" xfId="21" applyFont="1" applyBorder="1" applyAlignment="1">
      <alignment horizontal="left" vertical="center"/>
    </xf>
    <xf numFmtId="0" fontId="9" fillId="0" borderId="31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41" fontId="9" fillId="0" borderId="22" xfId="21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41" fontId="9" fillId="0" borderId="27" xfId="21" applyNumberFormat="1" applyFont="1" applyBorder="1" applyAlignment="1">
      <alignment vertical="center"/>
    </xf>
    <xf numFmtId="41" fontId="0" fillId="0" borderId="27" xfId="21" applyFont="1" applyBorder="1" applyAlignment="1">
      <alignment vertical="center"/>
    </xf>
    <xf numFmtId="0" fontId="10" fillId="0" borderId="37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9" fontId="9" fillId="0" borderId="31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left" vertical="center" indent="1"/>
    </xf>
    <xf numFmtId="41" fontId="9" fillId="0" borderId="0" xfId="21" applyFont="1" applyBorder="1" applyAlignment="1">
      <alignment horizontal="left" vertical="center"/>
    </xf>
    <xf numFmtId="41" fontId="9" fillId="0" borderId="31" xfId="21" applyFont="1" applyBorder="1" applyAlignment="1">
      <alignment vertical="center" shrinkToFit="1"/>
    </xf>
    <xf numFmtId="41" fontId="9" fillId="0" borderId="0" xfId="21" applyFont="1" applyBorder="1" applyAlignment="1">
      <alignment vertical="center" shrinkToFit="1"/>
    </xf>
    <xf numFmtId="0" fontId="9" fillId="0" borderId="24" xfId="0" applyFont="1" applyBorder="1" applyAlignment="1">
      <alignment horizontal="center" vertical="center"/>
    </xf>
    <xf numFmtId="41" fontId="9" fillId="0" borderId="0" xfId="21" applyFont="1" applyBorder="1" applyAlignment="1">
      <alignment horizontal="center" vertical="center"/>
    </xf>
    <xf numFmtId="41" fontId="9" fillId="0" borderId="38" xfId="21" applyFont="1" applyBorder="1" applyAlignment="1">
      <alignment horizontal="center" vertical="center"/>
    </xf>
    <xf numFmtId="41" fontId="9" fillId="0" borderId="0" xfId="21" applyFont="1" applyBorder="1" applyAlignment="1">
      <alignment horizontal="left" vertical="center" shrinkToFit="1"/>
    </xf>
    <xf numFmtId="0" fontId="14" fillId="0" borderId="6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177" fontId="9" fillId="0" borderId="31" xfId="0" applyNumberFormat="1" applyFont="1" applyBorder="1" applyAlignment="1">
      <alignment horizontal="center" vertical="center" shrinkToFit="1"/>
    </xf>
    <xf numFmtId="41" fontId="9" fillId="0" borderId="32" xfId="21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6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7" xfId="0" applyFont="1" applyBorder="1" applyAlignment="1">
      <alignment vertical="center" wrapText="1"/>
    </xf>
    <xf numFmtId="0" fontId="9" fillId="0" borderId="3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0" fontId="9" fillId="0" borderId="45" xfId="0" applyFont="1" applyBorder="1" applyAlignment="1">
      <alignment vertical="center"/>
    </xf>
    <xf numFmtId="41" fontId="9" fillId="0" borderId="29" xfId="2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177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 wrapText="1"/>
    </xf>
    <xf numFmtId="0" fontId="0" fillId="0" borderId="37" xfId="0" applyBorder="1" applyAlignment="1">
      <alignment vertical="center" shrinkToFit="1"/>
    </xf>
    <xf numFmtId="41" fontId="12" fillId="9" borderId="65" xfId="0" applyNumberFormat="1" applyFont="1" applyFill="1" applyBorder="1" applyAlignment="1">
      <alignment horizontal="center" vertical="center" shrinkToFit="1"/>
    </xf>
    <xf numFmtId="41" fontId="12" fillId="9" borderId="77" xfId="0" applyNumberFormat="1" applyFont="1" applyFill="1" applyBorder="1" applyAlignment="1">
      <alignment horizontal="center" vertical="center" shrinkToFit="1"/>
    </xf>
    <xf numFmtId="41" fontId="12" fillId="9" borderId="78" xfId="0" applyNumberFormat="1" applyFont="1" applyFill="1" applyBorder="1" applyAlignment="1">
      <alignment horizontal="center" vertical="center" shrinkToFit="1"/>
    </xf>
    <xf numFmtId="41" fontId="12" fillId="9" borderId="13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9" fillId="0" borderId="43" xfId="0" applyFont="1" applyBorder="1" applyAlignment="1">
      <alignment horizontal="left" vertical="center" wrapText="1"/>
    </xf>
    <xf numFmtId="41" fontId="9" fillId="0" borderId="1" xfId="21" applyFont="1" applyBorder="1" applyAlignment="1">
      <alignment vertical="center"/>
    </xf>
    <xf numFmtId="0" fontId="11" fillId="0" borderId="79" xfId="0" applyFont="1" applyBorder="1" applyAlignment="1">
      <alignment horizontal="left" vertical="center" shrinkToFit="1"/>
    </xf>
    <xf numFmtId="0" fontId="9" fillId="0" borderId="56" xfId="0" applyFont="1" applyBorder="1" applyAlignment="1">
      <alignment horizontal="left" vertical="center" shrinkToFit="1"/>
    </xf>
    <xf numFmtId="41" fontId="9" fillId="0" borderId="43" xfId="0" applyNumberFormat="1" applyFont="1" applyBorder="1" applyAlignment="1">
      <alignment horizontal="center" vertical="center" wrapText="1"/>
    </xf>
    <xf numFmtId="41" fontId="9" fillId="0" borderId="45" xfId="21" applyNumberFormat="1" applyFont="1" applyFill="1" applyBorder="1" applyAlignment="1">
      <alignment horizontal="center" vertical="center"/>
    </xf>
    <xf numFmtId="41" fontId="9" fillId="0" borderId="45" xfId="21" applyNumberFormat="1" applyFont="1" applyFill="1" applyBorder="1" applyAlignment="1">
      <alignment vertical="center"/>
    </xf>
    <xf numFmtId="41" fontId="9" fillId="0" borderId="48" xfId="21" applyNumberFormat="1" applyFont="1" applyFill="1" applyBorder="1" applyAlignment="1">
      <alignment vertical="center" shrinkToFit="1"/>
    </xf>
    <xf numFmtId="41" fontId="9" fillId="0" borderId="44" xfId="0" applyNumberFormat="1" applyFont="1" applyBorder="1" applyAlignment="1">
      <alignment horizontal="center" vertical="center" wrapText="1"/>
    </xf>
    <xf numFmtId="41" fontId="9" fillId="0" borderId="8" xfId="21" applyFont="1" applyFill="1" applyBorder="1" applyAlignment="1">
      <alignment horizontal="center" vertical="center" shrinkToFit="1"/>
    </xf>
    <xf numFmtId="41" fontId="9" fillId="0" borderId="24" xfId="21" applyFont="1" applyFill="1" applyBorder="1" applyAlignment="1">
      <alignment horizontal="center" vertical="center" shrinkToFit="1"/>
    </xf>
    <xf numFmtId="41" fontId="10" fillId="0" borderId="24" xfId="21" applyFont="1" applyBorder="1" applyAlignment="1">
      <alignment horizontal="center" vertical="center" shrinkToFit="1"/>
    </xf>
    <xf numFmtId="41" fontId="0" fillId="0" borderId="24" xfId="21" applyFont="1" applyBorder="1" applyAlignment="1">
      <alignment horizontal="center" vertical="center"/>
    </xf>
    <xf numFmtId="41" fontId="9" fillId="0" borderId="24" xfId="21" applyFont="1" applyFill="1" applyBorder="1" applyAlignment="1">
      <alignment horizontal="center" vertical="center"/>
    </xf>
    <xf numFmtId="41" fontId="9" fillId="0" borderId="24" xfId="21" applyFont="1" applyFill="1" applyBorder="1" applyAlignment="1">
      <alignment vertical="center"/>
    </xf>
    <xf numFmtId="0" fontId="9" fillId="0" borderId="43" xfId="0" applyFont="1" applyBorder="1" applyAlignment="1">
      <alignment horizontal="center" vertical="center" wrapText="1"/>
    </xf>
    <xf numFmtId="41" fontId="16" fillId="9" borderId="64" xfId="21" applyFont="1" applyFill="1" applyBorder="1" applyAlignment="1">
      <alignment vertical="center"/>
    </xf>
    <xf numFmtId="41" fontId="16" fillId="9" borderId="64" xfId="0" applyNumberFormat="1" applyFont="1" applyFill="1" applyBorder="1" applyAlignment="1">
      <alignment horizontal="center" vertical="center"/>
    </xf>
    <xf numFmtId="0" fontId="16" fillId="9" borderId="78" xfId="0" applyFont="1" applyFill="1" applyBorder="1" applyAlignment="1">
      <alignment vertical="center"/>
    </xf>
    <xf numFmtId="41" fontId="11" fillId="9" borderId="80" xfId="21" applyFont="1" applyFill="1" applyBorder="1" applyAlignment="1">
      <alignment vertical="center"/>
    </xf>
    <xf numFmtId="0" fontId="11" fillId="9" borderId="80" xfId="0" applyFont="1" applyFill="1" applyBorder="1" applyAlignment="1">
      <alignment horizontal="center" vertical="center"/>
    </xf>
    <xf numFmtId="176" fontId="11" fillId="9" borderId="80" xfId="0" applyNumberFormat="1" applyFont="1" applyFill="1" applyBorder="1" applyAlignment="1">
      <alignment horizontal="center" vertical="center"/>
    </xf>
    <xf numFmtId="177" fontId="11" fillId="9" borderId="80" xfId="0" applyNumberFormat="1" applyFont="1" applyFill="1" applyBorder="1" applyAlignment="1">
      <alignment horizontal="center" vertical="center"/>
    </xf>
    <xf numFmtId="0" fontId="11" fillId="9" borderId="80" xfId="0" applyFont="1" applyFill="1" applyBorder="1" applyAlignment="1">
      <alignment vertical="center"/>
    </xf>
    <xf numFmtId="41" fontId="11" fillId="9" borderId="81" xfId="21" applyFont="1" applyFill="1" applyBorder="1" applyAlignment="1">
      <alignment vertical="center"/>
    </xf>
    <xf numFmtId="41" fontId="12" fillId="9" borderId="27" xfId="21" applyFont="1" applyFill="1" applyBorder="1" applyAlignment="1">
      <alignment vertical="center"/>
    </xf>
    <xf numFmtId="41" fontId="12" fillId="9" borderId="65" xfId="20" applyNumberFormat="1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41" fontId="17" fillId="9" borderId="0" xfId="21" applyFont="1" applyFill="1" applyBorder="1" applyAlignment="1">
      <alignment vertical="center"/>
    </xf>
    <xf numFmtId="0" fontId="17" fillId="9" borderId="0" xfId="0" applyFont="1" applyFill="1" applyBorder="1" applyAlignment="1">
      <alignment horizontal="center" vertical="center"/>
    </xf>
    <xf numFmtId="176" fontId="17" fillId="9" borderId="0" xfId="0" applyNumberFormat="1" applyFont="1" applyFill="1" applyBorder="1" applyAlignment="1">
      <alignment horizontal="center" vertical="center"/>
    </xf>
    <xf numFmtId="177" fontId="17" fillId="9" borderId="0" xfId="0" applyNumberFormat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vertical="center"/>
    </xf>
    <xf numFmtId="41" fontId="17" fillId="9" borderId="38" xfId="21" applyFont="1" applyFill="1" applyBorder="1" applyAlignment="1">
      <alignment vertical="center"/>
    </xf>
    <xf numFmtId="41" fontId="12" fillId="8" borderId="2" xfId="21" applyFont="1" applyFill="1" applyBorder="1" applyAlignment="1">
      <alignment horizontal="right" vertical="center" wrapText="1"/>
    </xf>
    <xf numFmtId="41" fontId="31" fillId="0" borderId="0" xfId="0" applyNumberFormat="1" applyFont="1" applyAlignment="1">
      <alignment vertical="center"/>
    </xf>
    <xf numFmtId="0" fontId="0" fillId="0" borderId="82" xfId="0" applyBorder="1" applyAlignment="1">
      <alignment vertical="center"/>
    </xf>
    <xf numFmtId="0" fontId="11" fillId="0" borderId="19" xfId="0" applyFont="1" applyBorder="1" applyAlignment="1">
      <alignment vertical="center" wrapText="1"/>
    </xf>
    <xf numFmtId="41" fontId="11" fillId="0" borderId="43" xfId="0" applyNumberFormat="1" applyFont="1" applyBorder="1" applyAlignment="1">
      <alignment horizontal="left" vertical="center"/>
    </xf>
    <xf numFmtId="41" fontId="9" fillId="0" borderId="48" xfId="2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7" xfId="0" applyBorder="1" applyAlignment="1">
      <alignment vertical="center"/>
    </xf>
    <xf numFmtId="9" fontId="9" fillId="0" borderId="44" xfId="20" applyFont="1" applyBorder="1" applyAlignment="1">
      <alignment vertical="center"/>
    </xf>
    <xf numFmtId="0" fontId="0" fillId="0" borderId="1" xfId="0" applyBorder="1" applyAlignment="1">
      <alignment vertical="center"/>
    </xf>
    <xf numFmtId="41" fontId="9" fillId="0" borderId="43" xfId="20" applyNumberFormat="1" applyFont="1" applyBorder="1" applyAlignment="1">
      <alignment vertical="center"/>
    </xf>
    <xf numFmtId="41" fontId="9" fillId="0" borderId="75" xfId="21" applyFont="1" applyBorder="1" applyAlignment="1">
      <alignment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0" fillId="8" borderId="83" xfId="0" applyFont="1" applyFill="1" applyBorder="1" applyAlignment="1">
      <alignment horizontal="center" vertical="center"/>
    </xf>
    <xf numFmtId="0" fontId="10" fillId="8" borderId="84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2" fillId="7" borderId="56" xfId="0" applyFont="1" applyFill="1" applyBorder="1" applyAlignment="1">
      <alignment horizontal="center" vertical="center"/>
    </xf>
    <xf numFmtId="0" fontId="17" fillId="10" borderId="56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horizontal="center" vertical="center"/>
    </xf>
    <xf numFmtId="184" fontId="10" fillId="0" borderId="2" xfId="0" applyNumberFormat="1" applyFont="1" applyBorder="1" applyAlignment="1">
      <alignment horizontal="center" vertical="center" shrinkToFit="1"/>
    </xf>
    <xf numFmtId="181" fontId="10" fillId="10" borderId="2" xfId="0" applyNumberFormat="1" applyFont="1" applyFill="1" applyBorder="1" applyAlignment="1">
      <alignment horizontal="center" vertical="center" shrinkToFit="1"/>
    </xf>
    <xf numFmtId="10" fontId="10" fillId="10" borderId="2" xfId="0" applyNumberFormat="1" applyFont="1" applyFill="1" applyBorder="1" applyAlignment="1">
      <alignment horizontal="center" vertical="center" shrinkToFit="1"/>
    </xf>
    <xf numFmtId="0" fontId="12" fillId="11" borderId="2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8" borderId="2" xfId="0" applyFont="1" applyFill="1" applyBorder="1" applyAlignment="1">
      <alignment horizontal="center" vertical="center"/>
    </xf>
    <xf numFmtId="41" fontId="10" fillId="8" borderId="2" xfId="21" applyFont="1" applyFill="1" applyBorder="1" applyAlignment="1">
      <alignment horizontal="center" vertical="center"/>
    </xf>
    <xf numFmtId="41" fontId="10" fillId="0" borderId="2" xfId="21" applyFont="1" applyBorder="1" applyAlignment="1">
      <alignment horizontal="right" vertical="center" wrapText="1"/>
    </xf>
    <xf numFmtId="41" fontId="12" fillId="11" borderId="2" xfId="21" applyNumberFormat="1" applyFont="1" applyFill="1" applyBorder="1" applyAlignment="1">
      <alignment horizontal="right" vertical="center" wrapText="1"/>
    </xf>
    <xf numFmtId="41" fontId="12" fillId="7" borderId="2" xfId="21" applyFont="1" applyFill="1" applyBorder="1" applyAlignment="1">
      <alignment horizontal="right" vertical="center" wrapText="1"/>
    </xf>
    <xf numFmtId="41" fontId="10" fillId="10" borderId="2" xfId="21" applyFont="1" applyFill="1" applyBorder="1" applyAlignment="1">
      <alignment horizontal="right" vertical="center" wrapText="1"/>
    </xf>
    <xf numFmtId="41" fontId="31" fillId="10" borderId="2" xfId="21" applyFont="1" applyFill="1" applyBorder="1" applyAlignment="1">
      <alignment vertical="center"/>
    </xf>
    <xf numFmtId="183" fontId="10" fillId="10" borderId="2" xfId="21" applyNumberFormat="1" applyFont="1" applyFill="1" applyBorder="1" applyAlignment="1">
      <alignment horizontal="right" vertical="center" wrapText="1"/>
    </xf>
    <xf numFmtId="183" fontId="10" fillId="8" borderId="2" xfId="21" applyNumberFormat="1" applyFont="1" applyFill="1" applyBorder="1" applyAlignment="1">
      <alignment horizontal="right" vertical="center" wrapText="1"/>
    </xf>
    <xf numFmtId="41" fontId="12" fillId="11" borderId="2" xfId="21" applyFont="1" applyFill="1" applyBorder="1" applyAlignment="1">
      <alignment horizontal="right" vertical="center" wrapText="1"/>
    </xf>
    <xf numFmtId="41" fontId="0" fillId="0" borderId="10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29" fillId="7" borderId="2" xfId="21" applyFont="1" applyFill="1" applyBorder="1" applyAlignment="1">
      <alignment horizontal="right" vertical="center" wrapText="1"/>
    </xf>
    <xf numFmtId="41" fontId="10" fillId="0" borderId="2" xfId="21" applyFont="1" applyFill="1" applyBorder="1" applyAlignment="1">
      <alignment horizontal="right" vertical="center" wrapText="1"/>
    </xf>
    <xf numFmtId="0" fontId="10" fillId="8" borderId="2" xfId="0" applyFont="1" applyFill="1" applyBorder="1" applyAlignment="1">
      <alignment horizontal="center" vertical="center" shrinkToFit="1"/>
    </xf>
    <xf numFmtId="41" fontId="10" fillId="8" borderId="2" xfId="21" applyFont="1" applyFill="1" applyBorder="1" applyAlignment="1">
      <alignment horizontal="right" vertical="center" wrapText="1"/>
    </xf>
    <xf numFmtId="0" fontId="10" fillId="8" borderId="2" xfId="0" applyFont="1" applyFill="1" applyBorder="1" applyAlignment="1">
      <alignment horizontal="center"/>
    </xf>
    <xf numFmtId="41" fontId="0" fillId="0" borderId="84" xfId="0" applyNumberFormat="1" applyBorder="1" applyAlignment="1">
      <alignment vertical="center"/>
    </xf>
    <xf numFmtId="41" fontId="0" fillId="0" borderId="86" xfId="0" applyNumberFormat="1" applyBorder="1" applyAlignment="1">
      <alignment vertical="center"/>
    </xf>
    <xf numFmtId="41" fontId="10" fillId="10" borderId="86" xfId="21" applyFont="1" applyFill="1" applyBorder="1" applyAlignment="1">
      <alignment horizontal="right" vertical="center" wrapText="1"/>
    </xf>
    <xf numFmtId="41" fontId="0" fillId="0" borderId="83" xfId="0" applyNumberFormat="1" applyBorder="1" applyAlignment="1">
      <alignment vertical="center"/>
    </xf>
    <xf numFmtId="41" fontId="0" fillId="0" borderId="87" xfId="0" applyNumberFormat="1" applyBorder="1" applyAlignment="1">
      <alignment vertical="center"/>
    </xf>
    <xf numFmtId="41" fontId="10" fillId="10" borderId="87" xfId="21" applyFont="1" applyFill="1" applyBorder="1" applyAlignment="1">
      <alignment horizontal="right" vertical="center" wrapText="1"/>
    </xf>
    <xf numFmtId="0" fontId="0" fillId="0" borderId="88" xfId="0" applyBorder="1" applyAlignment="1">
      <alignment vertical="center"/>
    </xf>
    <xf numFmtId="41" fontId="10" fillId="8" borderId="87" xfId="21" applyFont="1" applyFill="1" applyBorder="1" applyAlignment="1">
      <alignment horizontal="right" vertical="center" wrapText="1"/>
    </xf>
    <xf numFmtId="41" fontId="10" fillId="8" borderId="86" xfId="21" applyFont="1" applyFill="1" applyBorder="1" applyAlignment="1">
      <alignment horizontal="right" vertical="center" wrapText="1"/>
    </xf>
    <xf numFmtId="0" fontId="10" fillId="12" borderId="2" xfId="0" applyFont="1" applyFill="1" applyBorder="1" applyAlignment="1">
      <alignment horizontal="center" vertical="center" shrinkToFit="1"/>
    </xf>
    <xf numFmtId="0" fontId="10" fillId="12" borderId="2" xfId="0" applyFont="1" applyFill="1" applyBorder="1" applyAlignment="1">
      <alignment horizontal="center" vertical="center"/>
    </xf>
    <xf numFmtId="41" fontId="10" fillId="12" borderId="2" xfId="21" applyFont="1" applyFill="1" applyBorder="1" applyAlignment="1">
      <alignment horizontal="center" vertical="center"/>
    </xf>
    <xf numFmtId="41" fontId="12" fillId="12" borderId="2" xfId="21" applyFont="1" applyFill="1" applyBorder="1" applyAlignment="1">
      <alignment horizontal="right" vertical="center" wrapText="1"/>
    </xf>
    <xf numFmtId="41" fontId="10" fillId="12" borderId="2" xfId="21" applyFont="1" applyFill="1" applyBorder="1" applyAlignment="1">
      <alignment horizontal="right" vertical="center" wrapText="1"/>
    </xf>
    <xf numFmtId="41" fontId="12" fillId="12" borderId="2" xfId="21" applyNumberFormat="1" applyFont="1" applyFill="1" applyBorder="1" applyAlignment="1">
      <alignment horizontal="right" vertical="center" wrapText="1"/>
    </xf>
    <xf numFmtId="41" fontId="31" fillId="12" borderId="2" xfId="21" applyFont="1" applyFill="1" applyBorder="1" applyAlignment="1">
      <alignment vertical="center"/>
    </xf>
    <xf numFmtId="183" fontId="10" fillId="12" borderId="2" xfId="21" applyNumberFormat="1" applyFont="1" applyFill="1" applyBorder="1" applyAlignment="1">
      <alignment horizontal="right" vertical="center" wrapText="1"/>
    </xf>
    <xf numFmtId="41" fontId="0" fillId="0" borderId="25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0" fontId="10" fillId="8" borderId="25" xfId="0" applyFont="1" applyFill="1" applyBorder="1" applyAlignment="1">
      <alignment horizontal="center" vertical="center"/>
    </xf>
    <xf numFmtId="41" fontId="10" fillId="8" borderId="27" xfId="21" applyFont="1" applyFill="1" applyBorder="1" applyAlignment="1">
      <alignment horizontal="right" vertical="center" wrapText="1"/>
    </xf>
    <xf numFmtId="41" fontId="29" fillId="12" borderId="2" xfId="21" applyFont="1" applyFill="1" applyBorder="1" applyAlignment="1">
      <alignment horizontal="right" vertical="center" wrapText="1"/>
    </xf>
    <xf numFmtId="41" fontId="37" fillId="8" borderId="2" xfId="21" applyFont="1" applyFill="1" applyBorder="1" applyAlignment="1">
      <alignment horizontal="center" vertical="center"/>
    </xf>
    <xf numFmtId="0" fontId="10" fillId="8" borderId="82" xfId="0" applyFont="1" applyFill="1" applyBorder="1" applyAlignment="1">
      <alignment horizontal="center" vertical="center"/>
    </xf>
    <xf numFmtId="41" fontId="10" fillId="10" borderId="82" xfId="21" applyFont="1" applyFill="1" applyBorder="1" applyAlignment="1">
      <alignment horizontal="right" vertical="center" wrapText="1"/>
    </xf>
    <xf numFmtId="41" fontId="12" fillId="8" borderId="2" xfId="0" applyNumberFormat="1" applyFont="1" applyFill="1" applyBorder="1" applyAlignment="1">
      <alignment vertical="center" shrinkToFit="1"/>
    </xf>
    <xf numFmtId="41" fontId="12" fillId="8" borderId="2" xfId="21" applyFont="1" applyFill="1" applyBorder="1" applyAlignment="1">
      <alignment horizontal="right" vertical="center" wrapText="1" shrinkToFit="1"/>
    </xf>
    <xf numFmtId="41" fontId="0" fillId="0" borderId="20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1" fontId="10" fillId="0" borderId="23" xfId="21" applyFont="1" applyBorder="1" applyAlignment="1">
      <alignment horizontal="center" vertical="center"/>
    </xf>
    <xf numFmtId="0" fontId="10" fillId="8" borderId="57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41" fontId="10" fillId="0" borderId="8" xfId="21" applyFont="1" applyBorder="1" applyAlignment="1">
      <alignment horizontal="center" vertical="center"/>
    </xf>
    <xf numFmtId="41" fontId="6" fillId="0" borderId="8" xfId="0" applyNumberFormat="1" applyFont="1" applyBorder="1" applyAlignment="1">
      <alignment horizontal="center" vertical="center"/>
    </xf>
    <xf numFmtId="41" fontId="6" fillId="0" borderId="41" xfId="0" applyNumberFormat="1" applyFont="1" applyBorder="1" applyAlignment="1">
      <alignment horizontal="center" vertical="center"/>
    </xf>
    <xf numFmtId="41" fontId="12" fillId="0" borderId="89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/>
    </xf>
    <xf numFmtId="41" fontId="10" fillId="0" borderId="14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vertical="center"/>
    </xf>
    <xf numFmtId="41" fontId="29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2" xfId="0" applyFont="1" applyBorder="1" applyAlignment="1">
      <alignment vertical="center"/>
    </xf>
    <xf numFmtId="41" fontId="31" fillId="0" borderId="2" xfId="21" applyFont="1" applyBorder="1" applyAlignment="1">
      <alignment vertical="center"/>
    </xf>
    <xf numFmtId="41" fontId="31" fillId="0" borderId="26" xfId="2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1" fontId="31" fillId="0" borderId="5" xfId="21" applyFont="1" applyBorder="1" applyAlignment="1">
      <alignment vertical="center"/>
    </xf>
    <xf numFmtId="41" fontId="29" fillId="0" borderId="5" xfId="21" applyFont="1" applyBorder="1" applyAlignment="1">
      <alignment vertical="center"/>
    </xf>
    <xf numFmtId="41" fontId="31" fillId="0" borderId="6" xfId="21" applyFont="1" applyBorder="1" applyAlignment="1">
      <alignment vertical="center"/>
    </xf>
    <xf numFmtId="0" fontId="0" fillId="0" borderId="57" xfId="0" applyBorder="1" applyAlignment="1">
      <alignment vertical="center"/>
    </xf>
    <xf numFmtId="41" fontId="29" fillId="0" borderId="2" xfId="21" applyFont="1" applyBorder="1" applyAlignment="1">
      <alignment vertical="center"/>
    </xf>
    <xf numFmtId="41" fontId="31" fillId="0" borderId="3" xfId="21" applyFont="1" applyBorder="1" applyAlignment="1">
      <alignment vertical="center"/>
    </xf>
    <xf numFmtId="41" fontId="31" fillId="0" borderId="1" xfId="0" applyNumberFormat="1" applyFont="1" applyBorder="1" applyAlignment="1">
      <alignment vertical="center"/>
    </xf>
    <xf numFmtId="41" fontId="29" fillId="0" borderId="1" xfId="0" applyNumberFormat="1" applyFont="1" applyBorder="1" applyAlignment="1">
      <alignment vertical="center"/>
    </xf>
    <xf numFmtId="41" fontId="31" fillId="0" borderId="42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41" fontId="35" fillId="0" borderId="0" xfId="0" applyNumberFormat="1" applyFont="1" applyAlignment="1">
      <alignment vertical="center"/>
    </xf>
    <xf numFmtId="0" fontId="12" fillId="8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41" fontId="31" fillId="0" borderId="2" xfId="21" applyFont="1" applyBorder="1" applyAlignment="1">
      <alignment horizontal="center" vertical="center"/>
    </xf>
    <xf numFmtId="41" fontId="10" fillId="8" borderId="26" xfId="21" applyFont="1" applyFill="1" applyBorder="1" applyAlignment="1">
      <alignment horizontal="center" vertical="center"/>
    </xf>
    <xf numFmtId="41" fontId="31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1" fontId="10" fillId="8" borderId="23" xfId="21" applyFont="1" applyFill="1" applyBorder="1" applyAlignment="1">
      <alignment horizontal="center" vertical="center"/>
    </xf>
    <xf numFmtId="41" fontId="12" fillId="14" borderId="2" xfId="21" applyFont="1" applyFill="1" applyBorder="1" applyAlignment="1">
      <alignment horizontal="center" vertical="center"/>
    </xf>
    <xf numFmtId="41" fontId="12" fillId="14" borderId="2" xfId="21" applyFont="1" applyFill="1" applyBorder="1" applyAlignment="1">
      <alignment horizontal="right" vertical="center" wrapText="1"/>
    </xf>
    <xf numFmtId="41" fontId="10" fillId="14" borderId="2" xfId="21" applyFont="1" applyFill="1" applyBorder="1" applyAlignment="1">
      <alignment horizontal="right" vertical="center" wrapText="1"/>
    </xf>
    <xf numFmtId="41" fontId="29" fillId="14" borderId="2" xfId="21" applyFont="1" applyFill="1" applyBorder="1" applyAlignment="1">
      <alignment vertical="center"/>
    </xf>
    <xf numFmtId="41" fontId="29" fillId="14" borderId="2" xfId="0" applyNumberFormat="1" applyFont="1" applyFill="1" applyBorder="1" applyAlignment="1">
      <alignment vertical="center"/>
    </xf>
    <xf numFmtId="41" fontId="31" fillId="8" borderId="2" xfId="21" applyFont="1" applyFill="1" applyBorder="1" applyAlignment="1">
      <alignment vertical="center"/>
    </xf>
    <xf numFmtId="41" fontId="31" fillId="0" borderId="26" xfId="21" applyFont="1" applyBorder="1" applyAlignment="1">
      <alignment horizontal="center" vertical="center"/>
    </xf>
    <xf numFmtId="41" fontId="10" fillId="8" borderId="27" xfId="21" applyFont="1" applyFill="1" applyBorder="1" applyAlignment="1">
      <alignment horizontal="center" vertical="center"/>
    </xf>
    <xf numFmtId="0" fontId="0" fillId="10" borderId="2" xfId="0" applyFill="1" applyBorder="1" applyAlignment="1">
      <alignment vertical="center"/>
    </xf>
    <xf numFmtId="41" fontId="31" fillId="0" borderId="27" xfId="21" applyFont="1" applyBorder="1" applyAlignment="1">
      <alignment horizontal="center" vertical="center"/>
    </xf>
    <xf numFmtId="41" fontId="31" fillId="0" borderId="23" xfId="21" applyFont="1" applyBorder="1" applyAlignment="1">
      <alignment horizontal="center" vertical="center"/>
    </xf>
    <xf numFmtId="41" fontId="29" fillId="14" borderId="27" xfId="21" applyFont="1" applyFill="1" applyBorder="1" applyAlignment="1">
      <alignment vertical="center"/>
    </xf>
    <xf numFmtId="183" fontId="29" fillId="14" borderId="2" xfId="0" applyNumberFormat="1" applyFont="1" applyFill="1" applyBorder="1" applyAlignment="1">
      <alignment vertical="center"/>
    </xf>
    <xf numFmtId="0" fontId="31" fillId="12" borderId="2" xfId="0" applyFont="1" applyFill="1" applyBorder="1" applyAlignment="1">
      <alignment horizontal="center" vertical="center" shrinkToFit="1"/>
    </xf>
    <xf numFmtId="0" fontId="29" fillId="12" borderId="2" xfId="0" applyFont="1" applyFill="1" applyBorder="1" applyAlignment="1">
      <alignment horizontal="center" vertical="center"/>
    </xf>
    <xf numFmtId="41" fontId="31" fillId="12" borderId="26" xfId="21" applyFont="1" applyFill="1" applyBorder="1" applyAlignment="1">
      <alignment vertical="center"/>
    </xf>
    <xf numFmtId="0" fontId="0" fillId="12" borderId="26" xfId="0" applyFill="1" applyBorder="1" applyAlignment="1">
      <alignment vertical="center"/>
    </xf>
    <xf numFmtId="41" fontId="31" fillId="12" borderId="26" xfId="21" applyNumberFormat="1" applyFont="1" applyFill="1" applyBorder="1" applyAlignment="1">
      <alignment vertical="center"/>
    </xf>
    <xf numFmtId="0" fontId="0" fillId="0" borderId="68" xfId="0" applyBorder="1" applyAlignment="1">
      <alignment vertical="center"/>
    </xf>
    <xf numFmtId="0" fontId="35" fillId="15" borderId="14" xfId="0" applyFont="1" applyFill="1" applyBorder="1" applyAlignment="1">
      <alignment vertical="center"/>
    </xf>
    <xf numFmtId="41" fontId="35" fillId="15" borderId="14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41" fontId="29" fillId="7" borderId="10" xfId="21" applyFont="1" applyFill="1" applyBorder="1" applyAlignment="1">
      <alignment horizontal="right" vertical="center" wrapText="1"/>
    </xf>
    <xf numFmtId="41" fontId="12" fillId="8" borderId="20" xfId="21" applyFont="1" applyFill="1" applyBorder="1" applyAlignment="1">
      <alignment horizontal="right" vertical="center" wrapText="1" shrinkToFit="1"/>
    </xf>
    <xf numFmtId="0" fontId="9" fillId="0" borderId="31" xfId="0" applyFont="1" applyBorder="1" applyAlignment="1">
      <alignment horizontal="center" vertical="center"/>
    </xf>
    <xf numFmtId="41" fontId="9" fillId="0" borderId="0" xfId="21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41" fontId="9" fillId="0" borderId="32" xfId="21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41" fontId="9" fillId="0" borderId="38" xfId="21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9" fontId="9" fillId="0" borderId="31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9" fillId="0" borderId="22" xfId="21" applyNumberFormat="1" applyFont="1" applyBorder="1" applyAlignment="1">
      <alignment horizontal="center" vertical="center" shrinkToFit="1"/>
    </xf>
    <xf numFmtId="176" fontId="9" fillId="0" borderId="0" xfId="21" applyNumberFormat="1" applyFont="1" applyBorder="1" applyAlignment="1">
      <alignment horizontal="center" vertical="center" shrinkToFit="1"/>
    </xf>
    <xf numFmtId="41" fontId="9" fillId="0" borderId="22" xfId="21" applyFont="1" applyBorder="1" applyAlignment="1">
      <alignment horizontal="left" vertical="center" shrinkToFit="1"/>
    </xf>
    <xf numFmtId="176" fontId="9" fillId="0" borderId="0" xfId="21" applyNumberFormat="1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 wrapText="1"/>
    </xf>
    <xf numFmtId="41" fontId="9" fillId="0" borderId="0" xfId="2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shrinkToFit="1"/>
    </xf>
    <xf numFmtId="41" fontId="9" fillId="0" borderId="0" xfId="21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41" fontId="9" fillId="0" borderId="1" xfId="21" applyFont="1" applyBorder="1" applyAlignment="1">
      <alignment horizontal="left" vertical="center" shrinkToFit="1"/>
    </xf>
    <xf numFmtId="41" fontId="9" fillId="0" borderId="31" xfId="21" applyFont="1" applyBorder="1" applyAlignment="1">
      <alignment vertical="center" shrinkToFit="1"/>
    </xf>
    <xf numFmtId="41" fontId="9" fillId="0" borderId="0" xfId="21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41" fontId="9" fillId="0" borderId="32" xfId="21" applyFont="1" applyBorder="1" applyAlignment="1">
      <alignment horizontal="left" vertical="center" shrinkToFit="1"/>
    </xf>
    <xf numFmtId="41" fontId="9" fillId="0" borderId="22" xfId="2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0" fontId="9" fillId="0" borderId="3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left" vertical="center" wrapText="1"/>
    </xf>
    <xf numFmtId="0" fontId="9" fillId="0" borderId="27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41" fontId="9" fillId="0" borderId="31" xfId="21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wrapText="1"/>
    </xf>
    <xf numFmtId="41" fontId="9" fillId="0" borderId="0" xfId="21" applyFont="1" applyBorder="1" applyAlignment="1">
      <alignment horizontal="center" vertical="center" shrinkToFit="1"/>
    </xf>
    <xf numFmtId="41" fontId="9" fillId="0" borderId="29" xfId="21" applyFont="1" applyBorder="1" applyAlignment="1">
      <alignment horizontal="left" vertical="center" shrinkToFit="1"/>
    </xf>
    <xf numFmtId="41" fontId="9" fillId="0" borderId="31" xfId="21" applyFont="1" applyBorder="1" applyAlignment="1">
      <alignment horizontal="left" vertical="center"/>
    </xf>
    <xf numFmtId="41" fontId="9" fillId="0" borderId="1" xfId="21" applyFont="1" applyBorder="1" applyAlignment="1">
      <alignment horizontal="center" vertical="center" shrinkToFit="1"/>
    </xf>
    <xf numFmtId="41" fontId="9" fillId="0" borderId="22" xfId="21" applyFont="1" applyBorder="1" applyAlignment="1">
      <alignment horizontal="center" vertical="center" shrinkToFit="1"/>
    </xf>
    <xf numFmtId="41" fontId="9" fillId="0" borderId="29" xfId="21" applyFont="1" applyBorder="1" applyAlignment="1">
      <alignment horizontal="left" vertical="center"/>
    </xf>
    <xf numFmtId="0" fontId="14" fillId="0" borderId="5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177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41" fontId="9" fillId="0" borderId="31" xfId="21" applyFont="1" applyBorder="1" applyAlignment="1">
      <alignment horizontal="center" vertical="center"/>
    </xf>
    <xf numFmtId="41" fontId="9" fillId="0" borderId="8" xfId="2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41" fontId="9" fillId="8" borderId="39" xfId="21" applyFont="1" applyFill="1" applyBorder="1" applyAlignment="1">
      <alignment vertical="center" shrinkToFit="1"/>
    </xf>
    <xf numFmtId="41" fontId="0" fillId="0" borderId="0" xfId="21" applyFont="1" applyFill="1" applyBorder="1" applyAlignment="1">
      <alignment horizontal="center" vertical="center" shrinkToFit="1"/>
    </xf>
    <xf numFmtId="41" fontId="0" fillId="0" borderId="24" xfId="21" applyFont="1" applyBorder="1" applyAlignment="1">
      <alignment horizontal="center" vertical="center" shrinkToFit="1"/>
    </xf>
    <xf numFmtId="41" fontId="0" fillId="0" borderId="24" xfId="21" applyFont="1" applyBorder="1" applyAlignment="1">
      <alignment vertical="center"/>
    </xf>
    <xf numFmtId="41" fontId="0" fillId="0" borderId="31" xfId="21" applyFont="1" applyBorder="1" applyAlignment="1">
      <alignment vertical="center"/>
    </xf>
    <xf numFmtId="41" fontId="0" fillId="0" borderId="45" xfId="21" applyFont="1" applyBorder="1" applyAlignment="1">
      <alignment vertical="center"/>
    </xf>
    <xf numFmtId="41" fontId="0" fillId="0" borderId="22" xfId="21" applyFont="1" applyBorder="1" applyAlignment="1">
      <alignment vertical="center"/>
    </xf>
    <xf numFmtId="41" fontId="0" fillId="0" borderId="0" xfId="2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0" fillId="0" borderId="26" xfId="0" applyNumberFormat="1" applyBorder="1" applyAlignment="1">
      <alignment vertical="center"/>
    </xf>
    <xf numFmtId="41" fontId="9" fillId="0" borderId="29" xfId="2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90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10" fillId="0" borderId="14" xfId="0" applyFont="1" applyBorder="1" applyAlignment="1">
      <alignment horizontal="left" vertical="center" shrinkToFit="1"/>
    </xf>
    <xf numFmtId="41" fontId="10" fillId="0" borderId="11" xfId="0" applyNumberFormat="1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41" fontId="10" fillId="0" borderId="91" xfId="0" applyNumberFormat="1" applyFont="1" applyBorder="1" applyAlignment="1">
      <alignment horizontal="left" vertical="center" shrinkToFit="1"/>
    </xf>
    <xf numFmtId="0" fontId="10" fillId="0" borderId="53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left" vertical="center" shrinkToFit="1"/>
    </xf>
    <xf numFmtId="0" fontId="10" fillId="0" borderId="56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left" vertical="center" shrinkToFit="1"/>
    </xf>
    <xf numFmtId="41" fontId="10" fillId="0" borderId="56" xfId="0" applyNumberFormat="1" applyFont="1" applyBorder="1" applyAlignment="1">
      <alignment horizontal="left" vertical="center" shrinkToFit="1"/>
    </xf>
    <xf numFmtId="41" fontId="10" fillId="0" borderId="92" xfId="0" applyNumberFormat="1" applyFont="1" applyBorder="1" applyAlignment="1">
      <alignment horizontal="left" vertical="center" shrinkToFit="1"/>
    </xf>
    <xf numFmtId="0" fontId="10" fillId="0" borderId="93" xfId="0" applyFont="1" applyBorder="1" applyAlignment="1">
      <alignment horizontal="left" vertical="center" shrinkToFit="1"/>
    </xf>
    <xf numFmtId="41" fontId="41" fillId="0" borderId="1" xfId="21" applyFont="1" applyBorder="1" applyAlignment="1">
      <alignment vertical="center" shrinkToFit="1"/>
    </xf>
    <xf numFmtId="41" fontId="9" fillId="0" borderId="0" xfId="21" applyFont="1" applyBorder="1" applyAlignment="1">
      <alignment horizontal="center" vertical="center"/>
    </xf>
    <xf numFmtId="41" fontId="9" fillId="0" borderId="0" xfId="21" applyFont="1" applyFill="1" applyBorder="1" applyAlignment="1">
      <alignment horizontal="left" vertical="center" shrinkToFit="1"/>
    </xf>
    <xf numFmtId="0" fontId="42" fillId="0" borderId="2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0" fillId="0" borderId="38" xfId="21" applyFont="1" applyFill="1" applyBorder="1" applyAlignment="1">
      <alignment vertical="center"/>
    </xf>
    <xf numFmtId="41" fontId="0" fillId="0" borderId="39" xfId="21" applyFont="1" applyFill="1" applyBorder="1" applyAlignment="1">
      <alignment vertical="center"/>
    </xf>
    <xf numFmtId="41" fontId="9" fillId="0" borderId="48" xfId="21" applyFont="1" applyFill="1" applyBorder="1" applyAlignment="1">
      <alignment vertical="center" shrinkToFit="1"/>
    </xf>
    <xf numFmtId="41" fontId="9" fillId="0" borderId="31" xfId="21" applyFont="1" applyFill="1" applyBorder="1" applyAlignment="1">
      <alignment vertical="center" shrinkToFit="1"/>
    </xf>
    <xf numFmtId="0" fontId="9" fillId="0" borderId="31" xfId="0" applyFont="1" applyFill="1" applyBorder="1" applyAlignment="1">
      <alignment horizontal="center" vertical="center" shrinkToFit="1"/>
    </xf>
    <xf numFmtId="177" fontId="9" fillId="0" borderId="31" xfId="0" applyNumberFormat="1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 shrinkToFit="1"/>
    </xf>
    <xf numFmtId="41" fontId="9" fillId="0" borderId="32" xfId="21" applyFont="1" applyFill="1" applyBorder="1" applyAlignment="1">
      <alignment horizontal="left" vertical="center" shrinkToFit="1"/>
    </xf>
    <xf numFmtId="41" fontId="9" fillId="0" borderId="21" xfId="21" applyFont="1" applyFill="1" applyBorder="1" applyAlignment="1">
      <alignment horizontal="left" vertical="center" shrinkToFit="1"/>
    </xf>
    <xf numFmtId="41" fontId="9" fillId="0" borderId="22" xfId="21" applyFont="1" applyFill="1" applyBorder="1" applyAlignment="1">
      <alignment vertical="center" shrinkToFit="1"/>
    </xf>
    <xf numFmtId="0" fontId="9" fillId="0" borderId="22" xfId="0" applyFont="1" applyFill="1" applyBorder="1" applyAlignment="1">
      <alignment horizontal="center" vertical="center" shrinkToFit="1"/>
    </xf>
    <xf numFmtId="177" fontId="9" fillId="0" borderId="22" xfId="0" applyNumberFormat="1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center" vertical="center"/>
    </xf>
    <xf numFmtId="9" fontId="9" fillId="0" borderId="31" xfId="0" applyNumberFormat="1" applyFont="1" applyFill="1" applyBorder="1" applyAlignment="1">
      <alignment horizontal="center" vertical="center"/>
    </xf>
    <xf numFmtId="9" fontId="9" fillId="0" borderId="22" xfId="0" applyNumberFormat="1" applyFont="1" applyFill="1" applyBorder="1" applyAlignment="1">
      <alignment horizontal="center" vertical="center"/>
    </xf>
    <xf numFmtId="41" fontId="9" fillId="0" borderId="32" xfId="2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1" fontId="9" fillId="0" borderId="29" xfId="21" applyFont="1" applyFill="1" applyBorder="1" applyAlignment="1">
      <alignment horizontal="left" vertical="center"/>
    </xf>
    <xf numFmtId="41" fontId="11" fillId="0" borderId="5" xfId="21" applyNumberFormat="1" applyFont="1" applyBorder="1" applyAlignment="1">
      <alignment vertical="center"/>
    </xf>
    <xf numFmtId="182" fontId="9" fillId="0" borderId="27" xfId="21" applyNumberFormat="1" applyFont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41" fontId="9" fillId="0" borderId="32" xfId="21" applyFont="1" applyFill="1" applyBorder="1" applyAlignment="1">
      <alignment vertical="center" shrinkToFit="1"/>
    </xf>
    <xf numFmtId="41" fontId="9" fillId="0" borderId="21" xfId="21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41" fontId="9" fillId="0" borderId="75" xfId="21" applyNumberFormat="1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1" fontId="9" fillId="0" borderId="0" xfId="21" applyFont="1" applyFill="1" applyBorder="1" applyAlignment="1">
      <alignment horizontal="left" vertical="center"/>
    </xf>
    <xf numFmtId="41" fontId="0" fillId="0" borderId="0" xfId="21" applyFont="1" applyFill="1" applyBorder="1" applyAlignment="1">
      <alignment horizontal="left" vertical="center"/>
    </xf>
    <xf numFmtId="41" fontId="0" fillId="0" borderId="38" xfId="21" applyFont="1" applyFill="1" applyBorder="1" applyAlignment="1">
      <alignment horizontal="left" vertical="center"/>
    </xf>
    <xf numFmtId="41" fontId="9" fillId="0" borderId="22" xfId="21" applyFont="1" applyFill="1" applyBorder="1" applyAlignment="1">
      <alignment horizontal="left" vertical="center"/>
    </xf>
    <xf numFmtId="41" fontId="0" fillId="0" borderId="22" xfId="21" applyFont="1" applyFill="1" applyBorder="1" applyAlignment="1">
      <alignment horizontal="left" vertical="center"/>
    </xf>
    <xf numFmtId="41" fontId="9" fillId="0" borderId="22" xfId="21" applyFont="1" applyFill="1" applyBorder="1" applyAlignment="1">
      <alignment horizontal="center" vertical="center"/>
    </xf>
    <xf numFmtId="41" fontId="9" fillId="0" borderId="31" xfId="21" applyFont="1" applyFill="1" applyBorder="1" applyAlignment="1">
      <alignment horizontal="left" vertical="center"/>
    </xf>
    <xf numFmtId="41" fontId="0" fillId="0" borderId="31" xfId="21" applyFont="1" applyFill="1" applyBorder="1" applyAlignment="1">
      <alignment horizontal="left" vertical="center"/>
    </xf>
    <xf numFmtId="41" fontId="9" fillId="0" borderId="31" xfId="21" applyFont="1" applyFill="1" applyBorder="1" applyAlignment="1">
      <alignment vertical="center"/>
    </xf>
    <xf numFmtId="41" fontId="9" fillId="0" borderId="28" xfId="21" applyFont="1" applyFill="1" applyBorder="1" applyAlignment="1">
      <alignment vertical="center"/>
    </xf>
    <xf numFmtId="41" fontId="9" fillId="0" borderId="21" xfId="21" applyFont="1" applyFill="1" applyBorder="1" applyAlignment="1">
      <alignment horizontal="left" vertical="center"/>
    </xf>
    <xf numFmtId="41" fontId="15" fillId="0" borderId="29" xfId="21" applyFont="1" applyFill="1" applyBorder="1" applyAlignment="1">
      <alignment vertical="center" wrapText="1"/>
    </xf>
    <xf numFmtId="41" fontId="15" fillId="0" borderId="32" xfId="21" applyFont="1" applyFill="1" applyBorder="1" applyAlignment="1">
      <alignment vertical="center" wrapText="1"/>
    </xf>
    <xf numFmtId="41" fontId="9" fillId="0" borderId="0" xfId="21" applyFont="1" applyFill="1" applyBorder="1" applyAlignment="1">
      <alignment vertical="center"/>
    </xf>
    <xf numFmtId="41" fontId="15" fillId="0" borderId="21" xfId="21" applyFont="1" applyFill="1" applyBorder="1" applyAlignment="1">
      <alignment horizontal="left" vertical="center" wrapText="1"/>
    </xf>
    <xf numFmtId="41" fontId="9" fillId="0" borderId="22" xfId="21" applyFont="1" applyFill="1" applyBorder="1" applyAlignment="1">
      <alignment horizontal="center" vertical="center" shrinkToFit="1"/>
    </xf>
    <xf numFmtId="41" fontId="9" fillId="0" borderId="1" xfId="21" applyFont="1" applyFill="1" applyBorder="1" applyAlignment="1">
      <alignment vertical="center" shrinkToFit="1"/>
    </xf>
    <xf numFmtId="41" fontId="9" fillId="0" borderId="1" xfId="2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41" fontId="0" fillId="0" borderId="1" xfId="21" applyFont="1" applyFill="1" applyBorder="1" applyAlignment="1">
      <alignment horizontal="left" vertical="center"/>
    </xf>
    <xf numFmtId="41" fontId="9" fillId="0" borderId="1" xfId="21" applyFont="1" applyFill="1" applyBorder="1" applyAlignment="1">
      <alignment horizontal="center" vertical="center"/>
    </xf>
    <xf numFmtId="41" fontId="9" fillId="0" borderId="42" xfId="21" applyFont="1" applyFill="1" applyBorder="1" applyAlignment="1">
      <alignment vertical="center" shrinkToFit="1"/>
    </xf>
    <xf numFmtId="41" fontId="9" fillId="0" borderId="29" xfId="21" applyFont="1" applyFill="1" applyBorder="1" applyAlignment="1">
      <alignment horizontal="left" vertical="center" shrinkToFit="1"/>
    </xf>
    <xf numFmtId="41" fontId="40" fillId="0" borderId="21" xfId="21" applyFont="1" applyFill="1" applyBorder="1" applyAlignment="1">
      <alignment horizontal="left" vertical="center" wrapText="1" shrinkToFit="1"/>
    </xf>
    <xf numFmtId="41" fontId="9" fillId="0" borderId="22" xfId="21" applyFont="1" applyFill="1" applyBorder="1" applyAlignment="1">
      <alignment vertical="center"/>
    </xf>
    <xf numFmtId="41" fontId="15" fillId="0" borderId="29" xfId="21" applyFont="1" applyFill="1" applyBorder="1" applyAlignment="1">
      <alignment horizontal="left" vertical="center" shrinkToFit="1"/>
    </xf>
    <xf numFmtId="1" fontId="0" fillId="0" borderId="31" xfId="21" applyNumberFormat="1" applyFont="1" applyFill="1" applyBorder="1" applyAlignment="1">
      <alignment horizontal="center" vertical="center"/>
    </xf>
    <xf numFmtId="41" fontId="0" fillId="0" borderId="31" xfId="21" applyFont="1" applyFill="1" applyBorder="1" applyAlignment="1">
      <alignment horizontal="center" vertical="center"/>
    </xf>
    <xf numFmtId="41" fontId="0" fillId="0" borderId="28" xfId="21" applyFont="1" applyFill="1" applyBorder="1" applyAlignment="1">
      <alignment horizontal="left" vertical="center"/>
    </xf>
    <xf numFmtId="41" fontId="40" fillId="0" borderId="32" xfId="21" applyFont="1" applyFill="1" applyBorder="1" applyAlignment="1">
      <alignment horizontal="left" vertical="center"/>
    </xf>
    <xf numFmtId="1" fontId="0" fillId="0" borderId="0" xfId="21" applyNumberFormat="1" applyFont="1" applyFill="1" applyBorder="1" applyAlignment="1">
      <alignment horizontal="center" vertical="center"/>
    </xf>
    <xf numFmtId="41" fontId="0" fillId="0" borderId="0" xfId="21" applyFont="1" applyFill="1" applyBorder="1" applyAlignment="1">
      <alignment horizontal="center" vertical="center"/>
    </xf>
    <xf numFmtId="41" fontId="15" fillId="0" borderId="0" xfId="21" applyFont="1" applyFill="1" applyBorder="1" applyAlignment="1">
      <alignment vertical="center" shrinkToFit="1"/>
    </xf>
    <xf numFmtId="41" fontId="40" fillId="0" borderId="0" xfId="21" applyFont="1" applyFill="1" applyBorder="1" applyAlignment="1">
      <alignment horizontal="left" vertical="center"/>
    </xf>
    <xf numFmtId="41" fontId="15" fillId="0" borderId="21" xfId="21" applyFont="1" applyFill="1" applyBorder="1" applyAlignment="1">
      <alignment horizontal="left" vertical="center"/>
    </xf>
    <xf numFmtId="41" fontId="40" fillId="0" borderId="29" xfId="21" applyFont="1" applyFill="1" applyBorder="1" applyAlignment="1">
      <alignment horizontal="left" vertical="center"/>
    </xf>
    <xf numFmtId="41" fontId="9" fillId="0" borderId="31" xfId="21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vertical="center"/>
    </xf>
    <xf numFmtId="41" fontId="9" fillId="0" borderId="29" xfId="21" applyFont="1" applyFill="1" applyBorder="1" applyAlignment="1">
      <alignment vertical="center"/>
    </xf>
    <xf numFmtId="41" fontId="0" fillId="0" borderId="31" xfId="21" applyFont="1" applyFill="1" applyBorder="1" applyAlignment="1">
      <alignment vertical="center"/>
    </xf>
    <xf numFmtId="41" fontId="3" fillId="0" borderId="31" xfId="21" applyFont="1" applyFill="1" applyBorder="1" applyAlignment="1">
      <alignment vertical="center"/>
    </xf>
    <xf numFmtId="182" fontId="9" fillId="0" borderId="31" xfId="0" applyNumberFormat="1" applyFont="1" applyFill="1" applyBorder="1" applyAlignment="1">
      <alignment vertical="center"/>
    </xf>
    <xf numFmtId="41" fontId="15" fillId="0" borderId="0" xfId="2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41" fontId="15" fillId="0" borderId="31" xfId="21" applyFont="1" applyFill="1" applyBorder="1" applyAlignment="1">
      <alignment vertical="center"/>
    </xf>
    <xf numFmtId="41" fontId="40" fillId="0" borderId="0" xfId="21" applyFont="1" applyFill="1" applyBorder="1" applyAlignment="1">
      <alignment vertical="center"/>
    </xf>
    <xf numFmtId="41" fontId="46" fillId="0" borderId="0" xfId="21" applyFont="1" applyFill="1" applyBorder="1" applyAlignment="1">
      <alignment vertical="center"/>
    </xf>
    <xf numFmtId="41" fontId="15" fillId="0" borderId="22" xfId="21" applyFont="1" applyFill="1" applyBorder="1" applyAlignment="1">
      <alignment vertical="center"/>
    </xf>
    <xf numFmtId="182" fontId="9" fillId="0" borderId="22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0" fontId="39" fillId="0" borderId="32" xfId="0" applyFont="1" applyFill="1" applyBorder="1" applyAlignment="1">
      <alignment vertical="center"/>
    </xf>
    <xf numFmtId="41" fontId="40" fillId="0" borderId="31" xfId="21" applyFont="1" applyFill="1" applyBorder="1" applyAlignment="1">
      <alignment vertical="center"/>
    </xf>
    <xf numFmtId="41" fontId="9" fillId="0" borderId="21" xfId="21" applyFont="1" applyFill="1" applyBorder="1" applyAlignment="1">
      <alignment vertical="center"/>
    </xf>
    <xf numFmtId="41" fontId="9" fillId="0" borderId="45" xfId="21" applyFont="1" applyFill="1" applyBorder="1" applyAlignment="1">
      <alignment vertical="center"/>
    </xf>
    <xf numFmtId="182" fontId="9" fillId="0" borderId="45" xfId="0" applyNumberFormat="1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41" fontId="9" fillId="0" borderId="45" xfId="21" applyFont="1" applyFill="1" applyBorder="1" applyAlignment="1">
      <alignment vertical="center" shrinkToFit="1"/>
    </xf>
    <xf numFmtId="0" fontId="9" fillId="0" borderId="3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1" fontId="0" fillId="0" borderId="0" xfId="21" applyFont="1" applyFill="1" applyBorder="1" applyAlignment="1">
      <alignment vertical="center"/>
    </xf>
    <xf numFmtId="41" fontId="9" fillId="0" borderId="1" xfId="21" applyFont="1" applyFill="1" applyBorder="1" applyAlignment="1">
      <alignment vertical="center"/>
    </xf>
    <xf numFmtId="41" fontId="9" fillId="0" borderId="35" xfId="21" applyFont="1" applyFill="1" applyBorder="1" applyAlignment="1">
      <alignment vertical="center"/>
    </xf>
    <xf numFmtId="41" fontId="9" fillId="0" borderId="35" xfId="21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shrinkToFit="1"/>
    </xf>
    <xf numFmtId="0" fontId="9" fillId="0" borderId="29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shrinkToFit="1"/>
    </xf>
    <xf numFmtId="41" fontId="12" fillId="0" borderId="7" xfId="0" applyNumberFormat="1" applyFont="1" applyBorder="1" applyAlignment="1">
      <alignment horizontal="left" vertical="center" shrinkToFit="1"/>
    </xf>
    <xf numFmtId="41" fontId="12" fillId="0" borderId="6" xfId="0" applyNumberFormat="1" applyFont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32" xfId="0" applyFon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0" fontId="9" fillId="0" borderId="2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1" fontId="9" fillId="0" borderId="10" xfId="0" applyNumberFormat="1" applyFont="1" applyBorder="1" applyAlignment="1">
      <alignment horizontal="right" vertical="center"/>
    </xf>
    <xf numFmtId="41" fontId="9" fillId="0" borderId="44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1" fontId="9" fillId="0" borderId="9" xfId="0" applyNumberFormat="1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14" fillId="0" borderId="75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0" borderId="29" xfId="0" applyFont="1" applyBorder="1" applyAlignment="1">
      <alignment vertical="center" shrinkToFit="1"/>
    </xf>
    <xf numFmtId="0" fontId="9" fillId="0" borderId="45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36" xfId="0" applyFont="1" applyBorder="1" applyAlignment="1">
      <alignment vertical="center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5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41" fontId="16" fillId="9" borderId="65" xfId="21" applyFont="1" applyFill="1" applyBorder="1" applyAlignment="1">
      <alignment vertical="center"/>
    </xf>
    <xf numFmtId="41" fontId="15" fillId="0" borderId="32" xfId="2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3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41" fontId="9" fillId="0" borderId="23" xfId="0" applyNumberFormat="1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94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 shrinkToFit="1"/>
    </xf>
    <xf numFmtId="0" fontId="10" fillId="0" borderId="96" xfId="0" applyFont="1" applyBorder="1" applyAlignment="1">
      <alignment horizontal="center" vertical="center" shrinkToFit="1"/>
    </xf>
    <xf numFmtId="0" fontId="12" fillId="9" borderId="97" xfId="0" applyFont="1" applyFill="1" applyBorder="1" applyAlignment="1">
      <alignment horizontal="center" vertical="center" shrinkToFit="1"/>
    </xf>
    <xf numFmtId="0" fontId="12" fillId="9" borderId="80" xfId="0" applyFont="1" applyFill="1" applyBorder="1" applyAlignment="1">
      <alignment horizontal="center" vertical="center" shrinkToFit="1"/>
    </xf>
    <xf numFmtId="0" fontId="12" fillId="9" borderId="64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8" fillId="0" borderId="97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18" fillId="0" borderId="9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right" vertical="center" shrinkToFit="1"/>
    </xf>
    <xf numFmtId="0" fontId="12" fillId="0" borderId="75" xfId="0" applyFont="1" applyBorder="1" applyAlignment="1">
      <alignment horizontal="center" vertical="center" shrinkToFit="1"/>
    </xf>
    <xf numFmtId="0" fontId="12" fillId="0" borderId="99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wrapText="1" shrinkToFit="1"/>
    </xf>
    <xf numFmtId="0" fontId="9" fillId="0" borderId="50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176" fontId="9" fillId="0" borderId="22" xfId="21" applyNumberFormat="1" applyFont="1" applyBorder="1" applyAlignment="1">
      <alignment horizontal="center" vertical="center" shrinkToFit="1"/>
    </xf>
    <xf numFmtId="176" fontId="9" fillId="0" borderId="0" xfId="21" applyNumberFormat="1" applyFont="1" applyBorder="1" applyAlignment="1">
      <alignment horizontal="center" vertical="center" shrinkToFit="1"/>
    </xf>
    <xf numFmtId="176" fontId="9" fillId="0" borderId="0" xfId="21" applyNumberFormat="1" applyFont="1" applyFill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176" fontId="9" fillId="0" borderId="31" xfId="21" applyNumberFormat="1" applyFont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9" fontId="9" fillId="0" borderId="31" xfId="0" applyNumberFormat="1" applyFont="1" applyBorder="1" applyAlignment="1">
      <alignment horizontal="center" vertical="center"/>
    </xf>
    <xf numFmtId="176" fontId="9" fillId="0" borderId="31" xfId="21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center" vertical="center" shrinkToFit="1"/>
    </xf>
    <xf numFmtId="41" fontId="9" fillId="0" borderId="32" xfId="21" applyFont="1" applyFill="1" applyBorder="1" applyAlignment="1">
      <alignment horizontal="left" vertical="center" shrinkToFit="1"/>
    </xf>
    <xf numFmtId="41" fontId="9" fillId="0" borderId="0" xfId="21" applyFont="1" applyFill="1" applyBorder="1" applyAlignment="1">
      <alignment horizontal="left" vertical="center" shrinkToFit="1"/>
    </xf>
    <xf numFmtId="41" fontId="9" fillId="0" borderId="22" xfId="21" applyFont="1" applyBorder="1" applyAlignment="1">
      <alignment horizontal="center" vertical="center"/>
    </xf>
    <xf numFmtId="41" fontId="9" fillId="0" borderId="39" xfId="21" applyFont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left" vertical="center" indent="1"/>
    </xf>
    <xf numFmtId="3" fontId="9" fillId="0" borderId="22" xfId="0" applyNumberFormat="1" applyFont="1" applyFill="1" applyBorder="1" applyAlignment="1">
      <alignment horizontal="left" vertical="center" indent="1"/>
    </xf>
    <xf numFmtId="41" fontId="9" fillId="0" borderId="0" xfId="21" applyFont="1" applyBorder="1" applyAlignment="1">
      <alignment horizontal="left" vertical="center"/>
    </xf>
    <xf numFmtId="41" fontId="9" fillId="0" borderId="0" xfId="21" applyFont="1" applyBorder="1" applyAlignment="1">
      <alignment horizontal="left" vertical="center" shrinkToFit="1"/>
    </xf>
    <xf numFmtId="41" fontId="0" fillId="0" borderId="0" xfId="21" applyFont="1" applyFill="1" applyBorder="1" applyAlignment="1">
      <alignment horizontal="center" vertical="center"/>
    </xf>
    <xf numFmtId="41" fontId="0" fillId="0" borderId="38" xfId="21" applyFont="1" applyFill="1" applyBorder="1" applyAlignment="1">
      <alignment horizontal="center" vertical="center"/>
    </xf>
    <xf numFmtId="41" fontId="9" fillId="0" borderId="31" xfId="21" applyFont="1" applyBorder="1" applyAlignment="1">
      <alignment vertical="center" shrinkToFit="1"/>
    </xf>
    <xf numFmtId="41" fontId="9" fillId="0" borderId="0" xfId="21" applyFont="1" applyFill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41" fontId="0" fillId="0" borderId="31" xfId="21" applyFont="1" applyFill="1" applyBorder="1" applyAlignment="1">
      <alignment horizontal="center" vertical="center"/>
    </xf>
    <xf numFmtId="41" fontId="0" fillId="0" borderId="28" xfId="2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14" fillId="9" borderId="37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4" fillId="0" borderId="6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1" fontId="9" fillId="0" borderId="22" xfId="21" applyFont="1" applyBorder="1" applyAlignment="1">
      <alignment horizontal="left" vertical="center" shrinkToFit="1"/>
    </xf>
    <xf numFmtId="176" fontId="9" fillId="0" borderId="0" xfId="21" applyNumberFormat="1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 wrapText="1"/>
    </xf>
    <xf numFmtId="41" fontId="9" fillId="0" borderId="0" xfId="21" applyFont="1" applyFill="1" applyBorder="1" applyAlignment="1">
      <alignment horizontal="center" vertical="center"/>
    </xf>
    <xf numFmtId="41" fontId="9" fillId="0" borderId="38" xfId="21" applyFont="1" applyFill="1" applyBorder="1" applyAlignment="1">
      <alignment horizontal="center" vertical="center"/>
    </xf>
    <xf numFmtId="41" fontId="9" fillId="0" borderId="45" xfId="21" applyFont="1" applyFill="1" applyBorder="1" applyAlignment="1">
      <alignment horizontal="left" vertical="center" shrinkToFit="1"/>
    </xf>
    <xf numFmtId="0" fontId="9" fillId="0" borderId="3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1" fontId="9" fillId="0" borderId="1" xfId="21" applyFont="1" applyBorder="1" applyAlignment="1">
      <alignment horizontal="left" vertical="center" shrinkToFit="1"/>
    </xf>
    <xf numFmtId="176" fontId="9" fillId="0" borderId="22" xfId="21" applyNumberFormat="1" applyFont="1" applyFill="1" applyBorder="1" applyAlignment="1">
      <alignment horizontal="center" vertical="center" shrinkToFit="1"/>
    </xf>
    <xf numFmtId="41" fontId="30" fillId="0" borderId="31" xfId="21" applyFont="1" applyBorder="1" applyAlignment="1">
      <alignment horizontal="center" vertical="center"/>
    </xf>
    <xf numFmtId="41" fontId="9" fillId="0" borderId="0" xfId="2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vertical="center" wrapText="1" shrinkToFit="1"/>
    </xf>
    <xf numFmtId="0" fontId="9" fillId="0" borderId="22" xfId="0" applyFont="1" applyBorder="1" applyAlignment="1">
      <alignment vertical="center" wrapText="1" shrinkToFit="1"/>
    </xf>
    <xf numFmtId="41" fontId="9" fillId="0" borderId="29" xfId="21" applyFont="1" applyFill="1" applyBorder="1" applyAlignment="1">
      <alignment horizontal="left" vertical="center" shrinkToFit="1"/>
    </xf>
    <xf numFmtId="41" fontId="9" fillId="0" borderId="31" xfId="21" applyFont="1" applyFill="1" applyBorder="1" applyAlignment="1">
      <alignment horizontal="left" vertical="center" shrinkToFit="1"/>
    </xf>
    <xf numFmtId="0" fontId="9" fillId="0" borderId="22" xfId="0" applyFont="1" applyBorder="1" applyAlignment="1">
      <alignment horizontal="center" vertical="center" shrinkToFit="1"/>
    </xf>
    <xf numFmtId="177" fontId="9" fillId="0" borderId="22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41" fontId="31" fillId="0" borderId="29" xfId="21" applyFont="1" applyFill="1" applyBorder="1" applyAlignment="1">
      <alignment horizontal="left" vertical="center" shrinkToFit="1"/>
    </xf>
    <xf numFmtId="41" fontId="31" fillId="0" borderId="31" xfId="21" applyFont="1" applyFill="1" applyBorder="1" applyAlignment="1">
      <alignment horizontal="left" vertical="center" shrinkToFit="1"/>
    </xf>
    <xf numFmtId="41" fontId="9" fillId="0" borderId="22" xfId="21" applyFont="1" applyBorder="1" applyAlignment="1">
      <alignment horizontal="center" vertical="center" shrinkToFit="1"/>
    </xf>
    <xf numFmtId="0" fontId="9" fillId="0" borderId="32" xfId="0" applyFont="1" applyBorder="1" applyAlignment="1">
      <alignment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1" fontId="9" fillId="0" borderId="31" xfId="21" applyFont="1" applyFill="1" applyBorder="1" applyAlignment="1">
      <alignment horizontal="center" vertical="center" shrinkToFit="1"/>
    </xf>
    <xf numFmtId="41" fontId="9" fillId="0" borderId="31" xfId="21" applyFont="1" applyBorder="1" applyAlignment="1">
      <alignment horizontal="center" vertical="center" shrinkToFit="1"/>
    </xf>
    <xf numFmtId="41" fontId="9" fillId="0" borderId="31" xfId="21" applyFont="1" applyBorder="1" applyAlignment="1">
      <alignment horizontal="left" vertical="center"/>
    </xf>
    <xf numFmtId="41" fontId="9" fillId="0" borderId="0" xfId="21" applyFont="1" applyFill="1" applyBorder="1" applyAlignment="1">
      <alignment horizontal="center" vertical="center" shrinkToFit="1"/>
    </xf>
    <xf numFmtId="0" fontId="9" fillId="0" borderId="36" xfId="0" applyFont="1" applyBorder="1" applyAlignment="1">
      <alignment vertical="center" wrapText="1"/>
    </xf>
    <xf numFmtId="41" fontId="9" fillId="0" borderId="31" xfId="21" applyNumberFormat="1" applyFont="1" applyFill="1" applyBorder="1" applyAlignment="1">
      <alignment horizontal="left" vertical="center" shrinkToFit="1"/>
    </xf>
    <xf numFmtId="0" fontId="0" fillId="0" borderId="27" xfId="0" applyBorder="1" applyAlignment="1">
      <alignment vertical="center" wrapText="1"/>
    </xf>
    <xf numFmtId="0" fontId="9" fillId="0" borderId="75" xfId="0" applyFont="1" applyBorder="1" applyAlignment="1">
      <alignment vertical="center" wrapText="1"/>
    </xf>
    <xf numFmtId="41" fontId="9" fillId="0" borderId="45" xfId="21" applyNumberFormat="1" applyFont="1" applyFill="1" applyBorder="1" applyAlignment="1">
      <alignment horizontal="left" vertical="center" shrinkToFit="1"/>
    </xf>
    <xf numFmtId="0" fontId="9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1" fontId="9" fillId="0" borderId="22" xfId="21" applyFont="1" applyFill="1" applyBorder="1" applyAlignment="1">
      <alignment horizontal="center" vertical="center" shrinkToFit="1"/>
    </xf>
    <xf numFmtId="41" fontId="0" fillId="0" borderId="22" xfId="2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41" fontId="0" fillId="0" borderId="1" xfId="21" applyFont="1" applyFill="1" applyBorder="1" applyAlignment="1">
      <alignment horizontal="center" vertical="center"/>
    </xf>
    <xf numFmtId="41" fontId="30" fillId="0" borderId="1" xfId="2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41" fontId="30" fillId="0" borderId="0" xfId="21" applyFont="1" applyBorder="1" applyAlignment="1">
      <alignment horizontal="center" vertical="center"/>
    </xf>
    <xf numFmtId="41" fontId="9" fillId="0" borderId="22" xfId="21" applyFont="1" applyFill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41" fontId="9" fillId="0" borderId="29" xfId="21" applyFont="1" applyBorder="1" applyAlignment="1">
      <alignment horizontal="left" vertical="center"/>
    </xf>
    <xf numFmtId="0" fontId="9" fillId="0" borderId="56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41" fontId="9" fillId="0" borderId="31" xfId="21" applyFont="1" applyFill="1" applyBorder="1" applyAlignment="1">
      <alignment horizontal="center" vertical="center"/>
    </xf>
    <xf numFmtId="41" fontId="9" fillId="0" borderId="28" xfId="2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41" fontId="9" fillId="0" borderId="29" xfId="21" applyFont="1" applyFill="1" applyBorder="1" applyAlignment="1">
      <alignment horizontal="left" vertical="center"/>
    </xf>
    <xf numFmtId="41" fontId="9" fillId="0" borderId="31" xfId="21" applyFont="1" applyFill="1" applyBorder="1" applyAlignment="1">
      <alignment horizontal="left" vertical="center"/>
    </xf>
    <xf numFmtId="0" fontId="9" fillId="0" borderId="3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1" fontId="10" fillId="0" borderId="2" xfId="2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2" borderId="97" xfId="0" applyFont="1" applyFill="1" applyBorder="1" applyAlignment="1">
      <alignment horizontal="center" vertical="center"/>
    </xf>
    <xf numFmtId="0" fontId="12" fillId="2" borderId="80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41" fontId="28" fillId="0" borderId="0" xfId="0" applyNumberFormat="1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41" fontId="9" fillId="0" borderId="8" xfId="21" applyFont="1" applyBorder="1" applyAlignment="1">
      <alignment horizontal="center" vertical="center"/>
    </xf>
    <xf numFmtId="41" fontId="9" fillId="0" borderId="10" xfId="21" applyFont="1" applyBorder="1" applyAlignment="1">
      <alignment horizontal="center" vertical="center"/>
    </xf>
    <xf numFmtId="41" fontId="10" fillId="0" borderId="5" xfId="21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shrinkToFit="1"/>
    </xf>
    <xf numFmtId="0" fontId="10" fillId="4" borderId="23" xfId="0" applyFont="1" applyFill="1" applyBorder="1" applyAlignment="1">
      <alignment horizontal="center" vertical="center" shrinkToFit="1"/>
    </xf>
    <xf numFmtId="0" fontId="10" fillId="4" borderId="2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31" fillId="10" borderId="46" xfId="0" applyFont="1" applyFill="1" applyBorder="1" applyAlignment="1">
      <alignment horizontal="center" vertical="center"/>
    </xf>
    <xf numFmtId="0" fontId="31" fillId="10" borderId="24" xfId="0" applyFont="1" applyFill="1" applyBorder="1" applyAlignment="1">
      <alignment horizontal="center" vertical="center"/>
    </xf>
    <xf numFmtId="0" fontId="31" fillId="10" borderId="10" xfId="0" applyFont="1" applyFill="1" applyBorder="1" applyAlignment="1">
      <alignment horizontal="center" vertical="center"/>
    </xf>
    <xf numFmtId="0" fontId="31" fillId="12" borderId="26" xfId="0" applyFont="1" applyFill="1" applyBorder="1" applyAlignment="1">
      <alignment horizontal="center" vertical="center"/>
    </xf>
    <xf numFmtId="0" fontId="31" fillId="12" borderId="27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0" fontId="38" fillId="12" borderId="26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23" xfId="0" applyFont="1" applyFill="1" applyBorder="1" applyAlignment="1">
      <alignment horizontal="center" vertical="center" wrapText="1"/>
    </xf>
    <xf numFmtId="0" fontId="31" fillId="12" borderId="24" xfId="0" applyFont="1" applyFill="1" applyBorder="1" applyAlignment="1">
      <alignment horizontal="center" vertical="center"/>
    </xf>
    <xf numFmtId="0" fontId="31" fillId="12" borderId="10" xfId="0" applyFont="1" applyFill="1" applyBorder="1" applyAlignment="1">
      <alignment horizontal="center" vertical="center"/>
    </xf>
    <xf numFmtId="0" fontId="35" fillId="15" borderId="102" xfId="0" applyFont="1" applyFill="1" applyBorder="1" applyAlignment="1">
      <alignment horizontal="center" vertical="center"/>
    </xf>
    <xf numFmtId="0" fontId="35" fillId="15" borderId="103" xfId="0" applyFont="1" applyFill="1" applyBorder="1" applyAlignment="1">
      <alignment horizontal="center" vertical="center"/>
    </xf>
    <xf numFmtId="0" fontId="35" fillId="15" borderId="16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1" fontId="38" fillId="0" borderId="26" xfId="21" applyFont="1" applyBorder="1" applyAlignment="1">
      <alignment horizontal="center" vertical="center" wrapText="1"/>
    </xf>
    <xf numFmtId="41" fontId="38" fillId="0" borderId="27" xfId="21" applyFont="1" applyBorder="1" applyAlignment="1">
      <alignment horizontal="center" vertical="center" wrapText="1"/>
    </xf>
    <xf numFmtId="41" fontId="38" fillId="0" borderId="23" xfId="21" applyFont="1" applyBorder="1" applyAlignment="1">
      <alignment horizontal="center" vertical="center" wrapText="1"/>
    </xf>
    <xf numFmtId="41" fontId="31" fillId="0" borderId="26" xfId="21" applyFont="1" applyBorder="1" applyAlignment="1">
      <alignment horizontal="center" vertical="center"/>
    </xf>
    <xf numFmtId="41" fontId="31" fillId="0" borderId="23" xfId="21" applyFont="1" applyBorder="1" applyAlignment="1">
      <alignment horizontal="center" vertical="center"/>
    </xf>
    <xf numFmtId="41" fontId="31" fillId="0" borderId="27" xfId="21" applyFont="1" applyBorder="1" applyAlignment="1">
      <alignment horizontal="center" vertical="center"/>
    </xf>
    <xf numFmtId="41" fontId="39" fillId="0" borderId="26" xfId="21" applyFont="1" applyBorder="1" applyAlignment="1">
      <alignment horizontal="center" vertical="center" wrapText="1"/>
    </xf>
    <xf numFmtId="41" fontId="39" fillId="0" borderId="27" xfId="21" applyFont="1" applyBorder="1" applyAlignment="1">
      <alignment horizontal="center" vertical="center" wrapText="1"/>
    </xf>
    <xf numFmtId="41" fontId="39" fillId="0" borderId="23" xfId="21" applyFont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1" fontId="10" fillId="8" borderId="26" xfId="21" applyFont="1" applyFill="1" applyBorder="1" applyAlignment="1">
      <alignment horizontal="center" vertical="center"/>
    </xf>
    <xf numFmtId="41" fontId="10" fillId="8" borderId="23" xfId="21" applyFont="1" applyFill="1" applyBorder="1" applyAlignment="1">
      <alignment horizontal="center" vertical="center"/>
    </xf>
    <xf numFmtId="41" fontId="10" fillId="8" borderId="27" xfId="2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41" fontId="10" fillId="0" borderId="8" xfId="21" applyFont="1" applyBorder="1" applyAlignment="1">
      <alignment horizontal="center" vertical="center"/>
    </xf>
    <xf numFmtId="41" fontId="10" fillId="0" borderId="10" xfId="21" applyFont="1" applyBorder="1" applyAlignment="1">
      <alignment horizontal="center" vertical="center"/>
    </xf>
    <xf numFmtId="41" fontId="6" fillId="0" borderId="8" xfId="0" applyNumberFormat="1" applyFont="1" applyBorder="1" applyAlignment="1">
      <alignment horizontal="center" vertical="center"/>
    </xf>
    <xf numFmtId="41" fontId="6" fillId="0" borderId="4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1" fontId="10" fillId="0" borderId="2" xfId="2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41" fontId="29" fillId="7" borderId="2" xfId="21" applyFont="1" applyFill="1" applyBorder="1" applyAlignment="1">
      <alignment horizontal="right" vertical="center" wrapText="1"/>
    </xf>
    <xf numFmtId="41" fontId="10" fillId="0" borderId="23" xfId="2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55" xfId="0" applyNumberFormat="1" applyFont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/>
    </xf>
    <xf numFmtId="41" fontId="29" fillId="12" borderId="2" xfId="21" applyFont="1" applyFill="1" applyBorder="1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7" fillId="10" borderId="56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/>
    </xf>
    <xf numFmtId="0" fontId="17" fillId="10" borderId="56" xfId="0" applyFont="1" applyFill="1" applyBorder="1" applyAlignment="1">
      <alignment horizontal="center" vertical="center" wrapText="1" shrinkToFit="1"/>
    </xf>
    <xf numFmtId="0" fontId="17" fillId="10" borderId="27" xfId="0" applyFont="1" applyFill="1" applyBorder="1" applyAlignment="1">
      <alignment horizontal="center" vertical="center" wrapText="1" shrinkToFit="1"/>
    </xf>
    <xf numFmtId="0" fontId="17" fillId="10" borderId="23" xfId="0" applyFont="1" applyFill="1" applyBorder="1" applyAlignment="1">
      <alignment horizontal="center" vertical="center" wrapText="1" shrinkToFit="1"/>
    </xf>
    <xf numFmtId="0" fontId="12" fillId="11" borderId="56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23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  <cellStyle name="쉼표 [0]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4"/>
  <sheetViews>
    <sheetView view="pageBreakPreview" zoomScale="60" workbookViewId="0" topLeftCell="A1">
      <selection activeCell="H41" sqref="H41"/>
    </sheetView>
  </sheetViews>
  <sheetFormatPr defaultColWidth="8.88671875" defaultRowHeight="13.5"/>
  <cols>
    <col min="1" max="12" width="12.99609375" style="3" customWidth="1"/>
    <col min="13" max="16384" width="8.88671875" style="3" customWidth="1"/>
  </cols>
  <sheetData>
    <row r="1" ht="29.25" customHeight="1"/>
    <row r="2" ht="29.25" customHeight="1"/>
    <row r="3" spans="1:12" s="4" customFormat="1" ht="141.75" customHeight="1">
      <c r="A3" s="1025" t="s">
        <v>289</v>
      </c>
      <c r="B3" s="1025"/>
      <c r="C3" s="1025"/>
      <c r="D3" s="1025"/>
      <c r="E3" s="1025"/>
      <c r="F3" s="1025"/>
      <c r="G3" s="1025"/>
      <c r="H3" s="1025"/>
      <c r="I3" s="1025"/>
      <c r="J3" s="1025"/>
      <c r="K3" s="1025"/>
      <c r="L3" s="1025"/>
    </row>
    <row r="4" spans="1:12" ht="29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9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61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61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61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61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4" customFormat="1" ht="29.25" customHeight="1">
      <c r="A10" s="1026" t="s">
        <v>123</v>
      </c>
      <c r="B10" s="1026"/>
      <c r="C10" s="1026"/>
      <c r="D10" s="1026"/>
      <c r="E10" s="1026"/>
      <c r="F10" s="1026"/>
      <c r="G10" s="1026"/>
      <c r="H10" s="1026"/>
      <c r="I10" s="1026"/>
      <c r="J10" s="1026"/>
      <c r="K10" s="1026"/>
      <c r="L10" s="1026"/>
    </row>
    <row r="11" ht="29.25" customHeight="1"/>
    <row r="12" ht="29.25" customHeight="1"/>
    <row r="13" ht="139.5" customHeight="1"/>
    <row r="14" spans="1:12" ht="76.5" customHeight="1">
      <c r="A14" s="1025" t="s">
        <v>290</v>
      </c>
      <c r="B14" s="1025"/>
      <c r="C14" s="1025"/>
      <c r="D14" s="1025"/>
      <c r="E14" s="1025"/>
      <c r="F14" s="1025"/>
      <c r="G14" s="1025"/>
      <c r="H14" s="1025"/>
      <c r="I14" s="1025"/>
      <c r="J14" s="1025"/>
      <c r="K14" s="1025"/>
      <c r="L14" s="1025"/>
    </row>
    <row r="15" spans="1:12" ht="29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29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9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29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29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29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9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29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29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9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29.25" customHeight="1">
      <c r="A25" s="1026" t="s">
        <v>123</v>
      </c>
      <c r="B25" s="1026"/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</row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spans="1:12" ht="80.25" customHeight="1">
      <c r="A33" s="1023" t="s">
        <v>428</v>
      </c>
      <c r="B33" s="1023"/>
      <c r="C33" s="1023"/>
      <c r="D33" s="1023"/>
      <c r="E33" s="1023"/>
      <c r="F33" s="1023"/>
      <c r="G33" s="1023"/>
      <c r="H33" s="1023"/>
      <c r="I33" s="1023"/>
      <c r="J33" s="1023"/>
      <c r="K33" s="1023"/>
      <c r="L33" s="1023"/>
    </row>
    <row r="34" spans="1:12" ht="29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9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29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29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29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29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29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29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29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29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29.25" customHeight="1">
      <c r="A44" s="1024" t="s">
        <v>123</v>
      </c>
      <c r="B44" s="1024"/>
      <c r="C44" s="1024"/>
      <c r="D44" s="1024"/>
      <c r="E44" s="1024"/>
      <c r="F44" s="1024"/>
      <c r="G44" s="1024"/>
      <c r="H44" s="1024"/>
      <c r="I44" s="1024"/>
      <c r="J44" s="1024"/>
      <c r="K44" s="1024"/>
      <c r="L44" s="1024"/>
    </row>
  </sheetData>
  <mergeCells count="6">
    <mergeCell ref="A33:L33"/>
    <mergeCell ref="A44:L44"/>
    <mergeCell ref="A3:L3"/>
    <mergeCell ref="A10:L10"/>
    <mergeCell ref="A14:L14"/>
    <mergeCell ref="A25:L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&amp;C&amp;"돋움,굵게"&amp;14-&amp;P+76-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zoomScaleSheetLayoutView="100" workbookViewId="0" topLeftCell="A1">
      <selection activeCell="F8" sqref="F8"/>
    </sheetView>
  </sheetViews>
  <sheetFormatPr defaultColWidth="8.88671875" defaultRowHeight="13.5"/>
  <cols>
    <col min="1" max="1" width="8.88671875" style="229" customWidth="1"/>
    <col min="2" max="2" width="9.6640625" style="229" customWidth="1"/>
    <col min="3" max="4" width="10.77734375" style="229" customWidth="1"/>
    <col min="5" max="5" width="11.6640625" style="229" customWidth="1"/>
    <col min="6" max="6" width="7.77734375" style="229" customWidth="1"/>
    <col min="7" max="7" width="5.10546875" style="229" customWidth="1"/>
    <col min="8" max="8" width="7.6640625" style="229" customWidth="1"/>
    <col min="9" max="9" width="8.10546875" style="229" customWidth="1"/>
    <col min="10" max="10" width="10.99609375" style="229" customWidth="1"/>
    <col min="11" max="11" width="10.77734375" style="229" customWidth="1"/>
    <col min="12" max="12" width="11.6640625" style="229" customWidth="1"/>
    <col min="13" max="13" width="8.3359375" style="229" customWidth="1"/>
    <col min="14" max="14" width="4.88671875" style="229" customWidth="1"/>
    <col min="15" max="16384" width="8.88671875" style="229" customWidth="1"/>
  </cols>
  <sheetData>
    <row r="1" spans="1:14" ht="27" customHeight="1">
      <c r="A1" s="1033" t="s">
        <v>802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</row>
    <row r="2" spans="1:14" ht="15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1041" t="s">
        <v>126</v>
      </c>
      <c r="M2" s="1041"/>
      <c r="N2" s="1041"/>
    </row>
    <row r="3" spans="1:14" ht="19.5" customHeight="1" thickBot="1">
      <c r="A3" s="1038" t="s">
        <v>247</v>
      </c>
      <c r="B3" s="1039"/>
      <c r="C3" s="1039"/>
      <c r="D3" s="1039"/>
      <c r="E3" s="1039"/>
      <c r="F3" s="1039"/>
      <c r="G3" s="1040"/>
      <c r="H3" s="1039" t="s">
        <v>248</v>
      </c>
      <c r="I3" s="1039"/>
      <c r="J3" s="1039"/>
      <c r="K3" s="1039"/>
      <c r="L3" s="1039"/>
      <c r="M3" s="1039"/>
      <c r="N3" s="1048"/>
    </row>
    <row r="4" spans="1:14" ht="15" customHeight="1">
      <c r="A4" s="1045" t="s">
        <v>0</v>
      </c>
      <c r="B4" s="1034" t="s">
        <v>1</v>
      </c>
      <c r="C4" s="1036" t="s">
        <v>2</v>
      </c>
      <c r="D4" s="1034" t="s">
        <v>803</v>
      </c>
      <c r="E4" s="1034" t="s">
        <v>804</v>
      </c>
      <c r="F4" s="1042" t="s">
        <v>125</v>
      </c>
      <c r="G4" s="1043"/>
      <c r="H4" s="1045" t="s">
        <v>0</v>
      </c>
      <c r="I4" s="1034" t="s">
        <v>1</v>
      </c>
      <c r="J4" s="1036" t="s">
        <v>2</v>
      </c>
      <c r="K4" s="1034" t="str">
        <f>D4</f>
        <v>전년도예산액</v>
      </c>
      <c r="L4" s="1034" t="str">
        <f>E4</f>
        <v>예산액</v>
      </c>
      <c r="M4" s="1042" t="s">
        <v>119</v>
      </c>
      <c r="N4" s="1044"/>
    </row>
    <row r="5" spans="1:14" ht="15" customHeight="1" thickBot="1">
      <c r="A5" s="1046"/>
      <c r="B5" s="1035"/>
      <c r="C5" s="1037"/>
      <c r="D5" s="1035"/>
      <c r="E5" s="1035"/>
      <c r="F5" s="331" t="s">
        <v>128</v>
      </c>
      <c r="G5" s="337" t="s">
        <v>129</v>
      </c>
      <c r="H5" s="1047"/>
      <c r="I5" s="1035"/>
      <c r="J5" s="1037"/>
      <c r="K5" s="1035"/>
      <c r="L5" s="1035"/>
      <c r="M5" s="331" t="s">
        <v>128</v>
      </c>
      <c r="N5" s="342" t="s">
        <v>130</v>
      </c>
    </row>
    <row r="6" spans="1:14" ht="27.75" customHeight="1" thickBot="1">
      <c r="A6" s="1030" t="s">
        <v>54</v>
      </c>
      <c r="B6" s="1031"/>
      <c r="C6" s="1032"/>
      <c r="D6" s="582">
        <f>D7+D10+D14+D18+D22+D25</f>
        <v>1077969</v>
      </c>
      <c r="E6" s="582">
        <f>SUM(E7,E10,E14,E18,E22,E26)</f>
        <v>1141608</v>
      </c>
      <c r="F6" s="582">
        <f aca="true" t="shared" si="0" ref="F6:F29">E6-D6</f>
        <v>63639</v>
      </c>
      <c r="G6" s="583">
        <f aca="true" t="shared" si="1" ref="G6:G12">(E6/D6%)-100</f>
        <v>5.9036020516359855</v>
      </c>
      <c r="H6" s="1031" t="s">
        <v>54</v>
      </c>
      <c r="I6" s="1031"/>
      <c r="J6" s="1032"/>
      <c r="K6" s="582">
        <f>K7+K25+K30+K68+K71</f>
        <v>1077969</v>
      </c>
      <c r="L6" s="582">
        <f>L7+L25+L30+L68+L71</f>
        <v>1141608</v>
      </c>
      <c r="M6" s="584">
        <f aca="true" t="shared" si="2" ref="M6:M37">L6-K6</f>
        <v>63639</v>
      </c>
      <c r="N6" s="585">
        <f>(L6/K6%)-100</f>
        <v>5.9036020516359855</v>
      </c>
    </row>
    <row r="7" spans="1:14" ht="16.5" customHeight="1">
      <c r="A7" s="184" t="s">
        <v>55</v>
      </c>
      <c r="B7" s="332"/>
      <c r="C7" s="503"/>
      <c r="D7" s="330">
        <f>D8</f>
        <v>40680</v>
      </c>
      <c r="E7" s="330">
        <f>E8</f>
        <v>40680</v>
      </c>
      <c r="F7" s="330">
        <f t="shared" si="0"/>
        <v>0</v>
      </c>
      <c r="G7" s="341">
        <f t="shared" si="1"/>
        <v>0</v>
      </c>
      <c r="H7" s="333" t="s">
        <v>56</v>
      </c>
      <c r="I7" s="176"/>
      <c r="J7" s="333"/>
      <c r="K7" s="334">
        <f>K8+K15+K18</f>
        <v>838582</v>
      </c>
      <c r="L7" s="334">
        <f>L8+L15+L18</f>
        <v>902942</v>
      </c>
      <c r="M7" s="336">
        <f t="shared" si="2"/>
        <v>64360</v>
      </c>
      <c r="N7" s="335">
        <f>(L7/K7%)-100</f>
        <v>7.674860657633957</v>
      </c>
    </row>
    <row r="8" spans="1:14" ht="16.5" customHeight="1">
      <c r="A8" s="184"/>
      <c r="B8" s="175" t="s">
        <v>57</v>
      </c>
      <c r="C8" s="169"/>
      <c r="D8" s="164">
        <f>D9</f>
        <v>40680</v>
      </c>
      <c r="E8" s="164">
        <f>E9</f>
        <v>40680</v>
      </c>
      <c r="F8" s="328">
        <f t="shared" si="0"/>
        <v>0</v>
      </c>
      <c r="G8" s="350">
        <f t="shared" si="1"/>
        <v>0</v>
      </c>
      <c r="H8" s="333"/>
      <c r="I8" s="175" t="s">
        <v>58</v>
      </c>
      <c r="J8" s="169"/>
      <c r="K8" s="164">
        <f>SUM(K9:K14)</f>
        <v>802744</v>
      </c>
      <c r="L8" s="164">
        <f>SUM(L9:L14)</f>
        <v>859692</v>
      </c>
      <c r="M8" s="325">
        <f t="shared" si="2"/>
        <v>56948</v>
      </c>
      <c r="N8" s="335">
        <f>(L8/K8%)-100</f>
        <v>7.094167007165424</v>
      </c>
    </row>
    <row r="9" spans="1:14" ht="16.5" customHeight="1">
      <c r="A9" s="170"/>
      <c r="B9" s="172"/>
      <c r="C9" s="169" t="s">
        <v>57</v>
      </c>
      <c r="D9" s="164">
        <v>40680</v>
      </c>
      <c r="E9" s="164">
        <v>40680</v>
      </c>
      <c r="F9" s="328">
        <f t="shared" si="0"/>
        <v>0</v>
      </c>
      <c r="G9" s="350">
        <f t="shared" si="1"/>
        <v>0</v>
      </c>
      <c r="H9" s="333"/>
      <c r="I9" s="176"/>
      <c r="J9" s="169" t="s">
        <v>59</v>
      </c>
      <c r="K9" s="164">
        <v>485168</v>
      </c>
      <c r="L9" s="164">
        <v>529035</v>
      </c>
      <c r="M9" s="325">
        <f t="shared" si="2"/>
        <v>43867</v>
      </c>
      <c r="N9" s="335">
        <f>(L9/K9%)-100</f>
        <v>9.041610328793325</v>
      </c>
    </row>
    <row r="10" spans="1:14" ht="16.5" customHeight="1">
      <c r="A10" s="185" t="s">
        <v>60</v>
      </c>
      <c r="B10" s="503"/>
      <c r="C10" s="163"/>
      <c r="D10" s="165">
        <f>D11</f>
        <v>935679</v>
      </c>
      <c r="E10" s="165">
        <f>E11</f>
        <v>992466</v>
      </c>
      <c r="F10" s="330">
        <f t="shared" si="0"/>
        <v>56787</v>
      </c>
      <c r="G10" s="341">
        <f t="shared" si="1"/>
        <v>6.069068558768535</v>
      </c>
      <c r="H10" s="333"/>
      <c r="I10" s="176"/>
      <c r="J10" s="169" t="s">
        <v>62</v>
      </c>
      <c r="K10" s="164">
        <v>196028</v>
      </c>
      <c r="L10" s="164">
        <v>199794</v>
      </c>
      <c r="M10" s="325">
        <f t="shared" si="2"/>
        <v>3766</v>
      </c>
      <c r="N10" s="335">
        <f>(L10/K10%)-100</f>
        <v>1.921154120839887</v>
      </c>
    </row>
    <row r="11" spans="1:14" ht="16.5" customHeight="1">
      <c r="A11" s="546"/>
      <c r="B11" s="175" t="s">
        <v>61</v>
      </c>
      <c r="C11" s="343"/>
      <c r="D11" s="164">
        <f>D12+D13</f>
        <v>935679</v>
      </c>
      <c r="E11" s="164">
        <f>E12+E13</f>
        <v>992466</v>
      </c>
      <c r="F11" s="328">
        <f t="shared" si="0"/>
        <v>56787</v>
      </c>
      <c r="G11" s="350">
        <f t="shared" si="1"/>
        <v>6.069068558768535</v>
      </c>
      <c r="H11" s="333"/>
      <c r="I11" s="176"/>
      <c r="J11" s="169" t="s">
        <v>254</v>
      </c>
      <c r="K11" s="164">
        <v>0</v>
      </c>
      <c r="L11" s="164">
        <f>세출예산!F27</f>
        <v>0</v>
      </c>
      <c r="M11" s="325">
        <f t="shared" si="2"/>
        <v>0</v>
      </c>
      <c r="N11" s="335"/>
    </row>
    <row r="12" spans="1:14" ht="16.5" customHeight="1">
      <c r="A12" s="546"/>
      <c r="B12" s="176"/>
      <c r="C12" s="343" t="s">
        <v>283</v>
      </c>
      <c r="D12" s="164">
        <v>935679</v>
      </c>
      <c r="E12" s="164">
        <v>992466</v>
      </c>
      <c r="F12" s="328">
        <f t="shared" si="0"/>
        <v>56787</v>
      </c>
      <c r="G12" s="350">
        <f t="shared" si="1"/>
        <v>6.069068558768535</v>
      </c>
      <c r="H12" s="333"/>
      <c r="I12" s="176"/>
      <c r="J12" s="169" t="s">
        <v>63</v>
      </c>
      <c r="K12" s="164">
        <v>56766</v>
      </c>
      <c r="L12" s="164">
        <v>60736</v>
      </c>
      <c r="M12" s="325">
        <f t="shared" si="2"/>
        <v>3970</v>
      </c>
      <c r="N12" s="335">
        <f aca="true" t="shared" si="3" ref="N12:N26">(L12/K12%)-100</f>
        <v>6.993622943311138</v>
      </c>
    </row>
    <row r="13" spans="1:14" ht="16.5" customHeight="1">
      <c r="A13" s="581"/>
      <c r="B13" s="172"/>
      <c r="C13" s="343" t="s">
        <v>284</v>
      </c>
      <c r="D13" s="164">
        <f>세입예산!E49</f>
        <v>0</v>
      </c>
      <c r="E13" s="164">
        <f>세입예산!F49</f>
        <v>0</v>
      </c>
      <c r="F13" s="328">
        <f t="shared" si="0"/>
        <v>0</v>
      </c>
      <c r="G13" s="350"/>
      <c r="H13" s="333"/>
      <c r="I13" s="176"/>
      <c r="J13" s="169" t="s">
        <v>64</v>
      </c>
      <c r="K13" s="164">
        <v>63582</v>
      </c>
      <c r="L13" s="164">
        <v>68027</v>
      </c>
      <c r="M13" s="325">
        <f t="shared" si="2"/>
        <v>4445</v>
      </c>
      <c r="N13" s="335">
        <f t="shared" si="3"/>
        <v>6.9909722877543885</v>
      </c>
    </row>
    <row r="14" spans="1:14" ht="16.5" customHeight="1">
      <c r="A14" s="185" t="s">
        <v>65</v>
      </c>
      <c r="B14" s="174"/>
      <c r="C14" s="163"/>
      <c r="D14" s="165">
        <f>D15</f>
        <v>10000</v>
      </c>
      <c r="E14" s="165">
        <f>E15</f>
        <v>10000</v>
      </c>
      <c r="F14" s="330">
        <f t="shared" si="0"/>
        <v>0</v>
      </c>
      <c r="G14" s="341">
        <f>(E14/D14%)-100</f>
        <v>0</v>
      </c>
      <c r="H14" s="333"/>
      <c r="I14" s="172"/>
      <c r="J14" s="169" t="s">
        <v>66</v>
      </c>
      <c r="K14" s="164">
        <v>1200</v>
      </c>
      <c r="L14" s="164">
        <v>2100</v>
      </c>
      <c r="M14" s="325">
        <f t="shared" si="2"/>
        <v>900</v>
      </c>
      <c r="N14" s="335">
        <f t="shared" si="3"/>
        <v>75</v>
      </c>
    </row>
    <row r="15" spans="1:14" ht="16.5" customHeight="1">
      <c r="A15" s="184"/>
      <c r="B15" s="177" t="s">
        <v>67</v>
      </c>
      <c r="C15" s="163"/>
      <c r="D15" s="164">
        <f>D16+D17</f>
        <v>10000</v>
      </c>
      <c r="E15" s="164">
        <f>E16+E17</f>
        <v>10000</v>
      </c>
      <c r="F15" s="328">
        <f t="shared" si="0"/>
        <v>0</v>
      </c>
      <c r="G15" s="350">
        <f>(E15/D15%)-100</f>
        <v>0</v>
      </c>
      <c r="H15" s="333"/>
      <c r="I15" s="175" t="s">
        <v>68</v>
      </c>
      <c r="J15" s="163"/>
      <c r="K15" s="164">
        <f>K16+K17</f>
        <v>1920</v>
      </c>
      <c r="L15" s="164">
        <v>3940</v>
      </c>
      <c r="M15" s="325">
        <f t="shared" si="2"/>
        <v>2020</v>
      </c>
      <c r="N15" s="335">
        <f t="shared" si="3"/>
        <v>105.20833333333334</v>
      </c>
    </row>
    <row r="16" spans="1:14" ht="16.5" customHeight="1">
      <c r="A16" s="184"/>
      <c r="B16" s="178"/>
      <c r="C16" s="163" t="s">
        <v>69</v>
      </c>
      <c r="D16" s="164">
        <v>5000</v>
      </c>
      <c r="E16" s="164">
        <v>5000</v>
      </c>
      <c r="F16" s="328">
        <f t="shared" si="0"/>
        <v>0</v>
      </c>
      <c r="G16" s="350">
        <f>(E16/D16%)-100</f>
        <v>0</v>
      </c>
      <c r="H16" s="333"/>
      <c r="I16" s="176"/>
      <c r="J16" s="163" t="s">
        <v>70</v>
      </c>
      <c r="K16" s="164">
        <v>1400</v>
      </c>
      <c r="L16" s="164">
        <v>1540</v>
      </c>
      <c r="M16" s="325">
        <f t="shared" si="2"/>
        <v>140</v>
      </c>
      <c r="N16" s="335">
        <f t="shared" si="3"/>
        <v>10</v>
      </c>
    </row>
    <row r="17" spans="1:14" ht="16.5" customHeight="1">
      <c r="A17" s="170"/>
      <c r="B17" s="173"/>
      <c r="C17" s="163" t="s">
        <v>71</v>
      </c>
      <c r="D17" s="164">
        <v>5000</v>
      </c>
      <c r="E17" s="164">
        <v>5000</v>
      </c>
      <c r="F17" s="328">
        <f t="shared" si="0"/>
        <v>0</v>
      </c>
      <c r="G17" s="350">
        <f>(E17/D17%)-100</f>
        <v>0</v>
      </c>
      <c r="H17" s="333"/>
      <c r="I17" s="172"/>
      <c r="J17" s="163" t="s">
        <v>72</v>
      </c>
      <c r="K17" s="164">
        <v>520</v>
      </c>
      <c r="L17" s="164">
        <v>2400</v>
      </c>
      <c r="M17" s="325">
        <f t="shared" si="2"/>
        <v>1880</v>
      </c>
      <c r="N17" s="335">
        <f t="shared" si="3"/>
        <v>361.53846153846155</v>
      </c>
    </row>
    <row r="18" spans="1:14" ht="16.5" customHeight="1">
      <c r="A18" s="185" t="s">
        <v>76</v>
      </c>
      <c r="B18" s="174"/>
      <c r="C18" s="163"/>
      <c r="D18" s="165">
        <f>D19</f>
        <v>3000</v>
      </c>
      <c r="E18" s="165">
        <f>E19</f>
        <v>0</v>
      </c>
      <c r="F18" s="328">
        <f t="shared" si="0"/>
        <v>-3000</v>
      </c>
      <c r="G18" s="350"/>
      <c r="H18" s="333"/>
      <c r="I18" s="176" t="s">
        <v>73</v>
      </c>
      <c r="J18" s="163"/>
      <c r="K18" s="164">
        <f>SUM(K19:K24)</f>
        <v>33918</v>
      </c>
      <c r="L18" s="164">
        <v>39310</v>
      </c>
      <c r="M18" s="325">
        <f t="shared" si="2"/>
        <v>5392</v>
      </c>
      <c r="N18" s="335">
        <f t="shared" si="3"/>
        <v>15.897163747862493</v>
      </c>
    </row>
    <row r="19" spans="1:14" ht="15" customHeight="1">
      <c r="A19" s="546"/>
      <c r="B19" s="175" t="s">
        <v>78</v>
      </c>
      <c r="C19" s="343"/>
      <c r="D19" s="164">
        <f>D20+D21</f>
        <v>3000</v>
      </c>
      <c r="E19" s="164">
        <f>E20</f>
        <v>0</v>
      </c>
      <c r="F19" s="328">
        <f t="shared" si="0"/>
        <v>-3000</v>
      </c>
      <c r="G19" s="350"/>
      <c r="H19" s="333"/>
      <c r="I19" s="176"/>
      <c r="J19" s="163" t="s">
        <v>74</v>
      </c>
      <c r="K19" s="164">
        <v>3961</v>
      </c>
      <c r="L19" s="164">
        <v>5560</v>
      </c>
      <c r="M19" s="325">
        <f t="shared" si="2"/>
        <v>1599</v>
      </c>
      <c r="N19" s="335">
        <f t="shared" si="3"/>
        <v>40.36859378944712</v>
      </c>
    </row>
    <row r="20" spans="1:14" ht="15" customHeight="1">
      <c r="A20" s="546"/>
      <c r="B20" s="176"/>
      <c r="C20" s="343" t="s">
        <v>80</v>
      </c>
      <c r="D20" s="164">
        <v>3000</v>
      </c>
      <c r="E20" s="164">
        <v>0</v>
      </c>
      <c r="F20" s="328">
        <f t="shared" si="0"/>
        <v>-3000</v>
      </c>
      <c r="G20" s="350"/>
      <c r="H20" s="333"/>
      <c r="I20" s="176"/>
      <c r="J20" s="163" t="s">
        <v>75</v>
      </c>
      <c r="K20" s="164">
        <v>14135</v>
      </c>
      <c r="L20" s="164">
        <v>15020</v>
      </c>
      <c r="M20" s="325">
        <f t="shared" si="2"/>
        <v>885</v>
      </c>
      <c r="N20" s="335">
        <f t="shared" si="3"/>
        <v>6.261054120976311</v>
      </c>
    </row>
    <row r="21" spans="1:14" ht="15" customHeight="1">
      <c r="A21" s="546"/>
      <c r="B21" s="172"/>
      <c r="C21" s="340" t="s">
        <v>285</v>
      </c>
      <c r="D21" s="231">
        <v>0</v>
      </c>
      <c r="E21" s="231"/>
      <c r="F21" s="328">
        <f t="shared" si="0"/>
        <v>0</v>
      </c>
      <c r="G21" s="350"/>
      <c r="H21" s="333"/>
      <c r="I21" s="176"/>
      <c r="J21" s="163" t="s">
        <v>77</v>
      </c>
      <c r="K21" s="164">
        <v>8046</v>
      </c>
      <c r="L21" s="164">
        <v>7680</v>
      </c>
      <c r="M21" s="325">
        <f t="shared" si="2"/>
        <v>-366</v>
      </c>
      <c r="N21" s="335">
        <f t="shared" si="3"/>
        <v>-4.548844146159581</v>
      </c>
    </row>
    <row r="22" spans="1:14" ht="15" customHeight="1">
      <c r="A22" s="185" t="s">
        <v>82</v>
      </c>
      <c r="B22" s="174"/>
      <c r="C22" s="163"/>
      <c r="D22" s="330">
        <f>D23</f>
        <v>73748</v>
      </c>
      <c r="E22" s="330">
        <f>E23</f>
        <v>82000</v>
      </c>
      <c r="F22" s="328">
        <f t="shared" si="0"/>
        <v>8252</v>
      </c>
      <c r="G22" s="350">
        <f>(E22/D22%)-100</f>
        <v>11.18945598524705</v>
      </c>
      <c r="H22" s="333"/>
      <c r="I22" s="176"/>
      <c r="J22" s="163" t="s">
        <v>79</v>
      </c>
      <c r="K22" s="164">
        <v>1263</v>
      </c>
      <c r="L22" s="164">
        <v>2450</v>
      </c>
      <c r="M22" s="325">
        <f t="shared" si="2"/>
        <v>1187</v>
      </c>
      <c r="N22" s="335">
        <f t="shared" si="3"/>
        <v>93.98258115597781</v>
      </c>
    </row>
    <row r="23" spans="1:14" ht="18.75" customHeight="1">
      <c r="A23" s="184"/>
      <c r="B23" s="177" t="s">
        <v>83</v>
      </c>
      <c r="C23" s="163"/>
      <c r="D23" s="164">
        <f>D24</f>
        <v>73748</v>
      </c>
      <c r="E23" s="164">
        <f>E24</f>
        <v>82000</v>
      </c>
      <c r="F23" s="328">
        <f t="shared" si="0"/>
        <v>8252</v>
      </c>
      <c r="G23" s="350">
        <f>(E23/D23%)-100</f>
        <v>11.18945598524705</v>
      </c>
      <c r="H23" s="333"/>
      <c r="I23" s="176"/>
      <c r="J23" s="163" t="s">
        <v>81</v>
      </c>
      <c r="K23" s="164">
        <v>5563</v>
      </c>
      <c r="L23" s="164">
        <v>7200</v>
      </c>
      <c r="M23" s="325">
        <f t="shared" si="2"/>
        <v>1637</v>
      </c>
      <c r="N23" s="335">
        <f t="shared" si="3"/>
        <v>29.426568398346205</v>
      </c>
    </row>
    <row r="24" spans="1:14" ht="18.75" customHeight="1">
      <c r="A24" s="184"/>
      <c r="B24" s="172"/>
      <c r="C24" s="163" t="s">
        <v>85</v>
      </c>
      <c r="D24" s="164">
        <v>73748</v>
      </c>
      <c r="E24" s="164">
        <v>82000</v>
      </c>
      <c r="F24" s="328">
        <f t="shared" si="0"/>
        <v>8252</v>
      </c>
      <c r="G24" s="350">
        <f>(E24/D24%)-100</f>
        <v>11.18945598524705</v>
      </c>
      <c r="H24" s="333"/>
      <c r="I24" s="172"/>
      <c r="J24" s="163" t="s">
        <v>600</v>
      </c>
      <c r="K24" s="164">
        <v>950</v>
      </c>
      <c r="L24" s="164">
        <v>1400</v>
      </c>
      <c r="M24" s="325">
        <f t="shared" si="2"/>
        <v>450</v>
      </c>
      <c r="N24" s="335">
        <f t="shared" si="3"/>
        <v>47.36842105263159</v>
      </c>
    </row>
    <row r="25" spans="1:14" ht="18.75" customHeight="1">
      <c r="A25" s="185" t="s">
        <v>287</v>
      </c>
      <c r="B25" s="174"/>
      <c r="C25" s="163"/>
      <c r="D25" s="165">
        <f>D26</f>
        <v>14862</v>
      </c>
      <c r="E25" s="165">
        <f>E26</f>
        <v>16462</v>
      </c>
      <c r="F25" s="330">
        <f t="shared" si="0"/>
        <v>1600</v>
      </c>
      <c r="G25" s="341">
        <f>(E25/D25%)-100</f>
        <v>10.765711209796791</v>
      </c>
      <c r="H25" s="1049" t="s">
        <v>259</v>
      </c>
      <c r="I25" s="174"/>
      <c r="J25" s="163"/>
      <c r="K25" s="165">
        <f>K26</f>
        <v>58441</v>
      </c>
      <c r="L25" s="165">
        <f>L26</f>
        <v>43530</v>
      </c>
      <c r="M25" s="326">
        <f t="shared" si="2"/>
        <v>-14911</v>
      </c>
      <c r="N25" s="335">
        <f t="shared" si="3"/>
        <v>-25.5146215841618</v>
      </c>
    </row>
    <row r="26" spans="1:14" ht="18.75" customHeight="1">
      <c r="A26" s="184"/>
      <c r="B26" s="175" t="s">
        <v>288</v>
      </c>
      <c r="C26" s="343"/>
      <c r="D26" s="164">
        <f>D27+D28+D29</f>
        <v>14862</v>
      </c>
      <c r="E26" s="164">
        <f>E27+E28+E29</f>
        <v>16462</v>
      </c>
      <c r="F26" s="328">
        <f t="shared" si="0"/>
        <v>1600</v>
      </c>
      <c r="G26" s="350">
        <f>(E26/D26%)-100</f>
        <v>10.765711209796791</v>
      </c>
      <c r="H26" s="1050"/>
      <c r="I26" s="177" t="s">
        <v>84</v>
      </c>
      <c r="J26" s="163"/>
      <c r="K26" s="164">
        <f>SUM(K27:K29)</f>
        <v>58441</v>
      </c>
      <c r="L26" s="164">
        <v>43530</v>
      </c>
      <c r="M26" s="325">
        <f t="shared" si="2"/>
        <v>-14911</v>
      </c>
      <c r="N26" s="335">
        <f t="shared" si="3"/>
        <v>-25.5146215841618</v>
      </c>
    </row>
    <row r="27" spans="1:14" ht="18.75" customHeight="1">
      <c r="A27" s="184"/>
      <c r="B27" s="176"/>
      <c r="C27" s="163" t="s">
        <v>88</v>
      </c>
      <c r="D27" s="164">
        <v>200</v>
      </c>
      <c r="E27" s="164">
        <v>200</v>
      </c>
      <c r="F27" s="164">
        <f t="shared" si="0"/>
        <v>0</v>
      </c>
      <c r="G27" s="350"/>
      <c r="H27" s="340"/>
      <c r="I27" s="344"/>
      <c r="J27" s="163" t="s">
        <v>84</v>
      </c>
      <c r="K27" s="164">
        <v>0</v>
      </c>
      <c r="L27" s="164">
        <v>0</v>
      </c>
      <c r="M27" s="325">
        <f>L27-K27</f>
        <v>0</v>
      </c>
      <c r="N27" s="335"/>
    </row>
    <row r="28" spans="1:14" ht="18.75" customHeight="1">
      <c r="A28" s="184"/>
      <c r="B28" s="176"/>
      <c r="C28" s="345" t="s">
        <v>90</v>
      </c>
      <c r="D28" s="328">
        <v>162</v>
      </c>
      <c r="E28" s="328">
        <v>162</v>
      </c>
      <c r="F28" s="328">
        <f t="shared" si="0"/>
        <v>0</v>
      </c>
      <c r="G28" s="350">
        <f>(E28/D28%)-100</f>
        <v>0</v>
      </c>
      <c r="H28" s="181"/>
      <c r="I28" s="178"/>
      <c r="J28" s="163" t="s">
        <v>86</v>
      </c>
      <c r="K28" s="164">
        <v>29800</v>
      </c>
      <c r="L28" s="164">
        <v>17000</v>
      </c>
      <c r="M28" s="325">
        <f t="shared" si="2"/>
        <v>-12800</v>
      </c>
      <c r="N28" s="335">
        <f aca="true" t="shared" si="4" ref="N28:N36">(L28/K28%)-100</f>
        <v>-42.95302013422819</v>
      </c>
    </row>
    <row r="29" spans="1:14" ht="18.75" customHeight="1" thickBot="1">
      <c r="A29" s="852"/>
      <c r="B29" s="516"/>
      <c r="C29" s="517" t="s">
        <v>92</v>
      </c>
      <c r="D29" s="518">
        <v>14500</v>
      </c>
      <c r="E29" s="518">
        <v>16100</v>
      </c>
      <c r="F29" s="851">
        <f t="shared" si="0"/>
        <v>1600</v>
      </c>
      <c r="G29" s="853">
        <f>(E29/D29%)-100</f>
        <v>11.034482758620683</v>
      </c>
      <c r="H29" s="854"/>
      <c r="I29" s="855"/>
      <c r="J29" s="850" t="s">
        <v>87</v>
      </c>
      <c r="K29" s="518">
        <v>28641</v>
      </c>
      <c r="L29" s="518">
        <v>26530</v>
      </c>
      <c r="M29" s="327">
        <f t="shared" si="2"/>
        <v>-2111</v>
      </c>
      <c r="N29" s="369">
        <f t="shared" si="4"/>
        <v>-7.3705527041653625</v>
      </c>
    </row>
    <row r="30" spans="1:14" ht="18.75" customHeight="1">
      <c r="A30" s="1027"/>
      <c r="B30" s="856"/>
      <c r="C30" s="857"/>
      <c r="D30" s="858"/>
      <c r="E30" s="858"/>
      <c r="F30" s="858"/>
      <c r="G30" s="859"/>
      <c r="H30" s="860" t="s">
        <v>53</v>
      </c>
      <c r="I30" s="977"/>
      <c r="J30" s="977"/>
      <c r="K30" s="291">
        <f>K31+K42+K48</f>
        <v>173592</v>
      </c>
      <c r="L30" s="291">
        <f>L31+L42+L48</f>
        <v>185461</v>
      </c>
      <c r="M30" s="978">
        <f t="shared" si="2"/>
        <v>11869</v>
      </c>
      <c r="N30" s="979">
        <f t="shared" si="4"/>
        <v>6.837296649615183</v>
      </c>
    </row>
    <row r="31" spans="1:14" ht="18.75" customHeight="1">
      <c r="A31" s="1028"/>
      <c r="B31" s="493"/>
      <c r="C31" s="493"/>
      <c r="D31" s="493"/>
      <c r="E31" s="493"/>
      <c r="F31" s="493"/>
      <c r="G31" s="494"/>
      <c r="H31" s="181"/>
      <c r="I31" s="163" t="s">
        <v>73</v>
      </c>
      <c r="J31" s="343"/>
      <c r="K31" s="164">
        <f>K32+K33+K34+K35+K40+K41</f>
        <v>142879</v>
      </c>
      <c r="L31" s="164">
        <f>L32+L33+L34+L35+L40+L41</f>
        <v>145864</v>
      </c>
      <c r="M31" s="325">
        <f t="shared" si="2"/>
        <v>2985</v>
      </c>
      <c r="N31" s="495">
        <f t="shared" si="4"/>
        <v>2.089180355405631</v>
      </c>
    </row>
    <row r="32" spans="1:14" ht="18.75" customHeight="1">
      <c r="A32" s="1028"/>
      <c r="B32" s="493"/>
      <c r="C32" s="493"/>
      <c r="D32" s="493"/>
      <c r="E32" s="493"/>
      <c r="F32" s="493"/>
      <c r="G32" s="494"/>
      <c r="H32" s="347"/>
      <c r="I32" s="176"/>
      <c r="J32" s="172" t="s">
        <v>91</v>
      </c>
      <c r="K32" s="328">
        <v>94263</v>
      </c>
      <c r="L32" s="328">
        <v>94325</v>
      </c>
      <c r="M32" s="328">
        <f t="shared" si="2"/>
        <v>62</v>
      </c>
      <c r="N32" s="335">
        <f t="shared" si="4"/>
        <v>0.06577342117267904</v>
      </c>
    </row>
    <row r="33" spans="1:14" ht="18.75" customHeight="1">
      <c r="A33" s="1028"/>
      <c r="B33" s="344"/>
      <c r="C33" s="344"/>
      <c r="D33" s="848"/>
      <c r="E33" s="344"/>
      <c r="F33" s="848"/>
      <c r="G33" s="340"/>
      <c r="H33" s="849"/>
      <c r="I33" s="344"/>
      <c r="J33" s="345" t="s">
        <v>93</v>
      </c>
      <c r="K33" s="328">
        <v>3556</v>
      </c>
      <c r="L33" s="328">
        <v>4014</v>
      </c>
      <c r="M33" s="346">
        <f t="shared" si="2"/>
        <v>458</v>
      </c>
      <c r="N33" s="335">
        <f t="shared" si="4"/>
        <v>12.879640044994375</v>
      </c>
    </row>
    <row r="34" spans="1:14" ht="18.75" customHeight="1">
      <c r="A34" s="1028"/>
      <c r="B34" s="344"/>
      <c r="C34" s="344"/>
      <c r="D34" s="340"/>
      <c r="E34" s="344"/>
      <c r="F34" s="344"/>
      <c r="G34" s="340"/>
      <c r="H34" s="181"/>
      <c r="I34" s="176"/>
      <c r="J34" s="345" t="s">
        <v>9</v>
      </c>
      <c r="K34" s="328">
        <v>3050</v>
      </c>
      <c r="L34" s="328">
        <v>5375</v>
      </c>
      <c r="M34" s="346">
        <f t="shared" si="2"/>
        <v>2325</v>
      </c>
      <c r="N34" s="335">
        <f t="shared" si="4"/>
        <v>76.2295081967213</v>
      </c>
    </row>
    <row r="35" spans="1:14" ht="18.75" customHeight="1">
      <c r="A35" s="1028"/>
      <c r="B35" s="493"/>
      <c r="C35" s="493"/>
      <c r="D35" s="493"/>
      <c r="E35" s="493"/>
      <c r="F35" s="493"/>
      <c r="G35" s="493"/>
      <c r="H35" s="498"/>
      <c r="I35" s="344"/>
      <c r="J35" s="345" t="s">
        <v>94</v>
      </c>
      <c r="K35" s="328">
        <v>1700</v>
      </c>
      <c r="L35" s="328">
        <v>1200</v>
      </c>
      <c r="M35" s="346">
        <f t="shared" si="2"/>
        <v>-500</v>
      </c>
      <c r="N35" s="335">
        <f t="shared" si="4"/>
        <v>-29.411764705882348</v>
      </c>
    </row>
    <row r="36" spans="1:14" ht="16.5" customHeight="1" hidden="1">
      <c r="A36" s="1028"/>
      <c r="B36" s="344"/>
      <c r="C36" s="344"/>
      <c r="D36" s="344"/>
      <c r="E36" s="344"/>
      <c r="F36" s="493"/>
      <c r="G36" s="493"/>
      <c r="H36" s="347"/>
      <c r="I36" s="176"/>
      <c r="J36" s="345" t="s">
        <v>95</v>
      </c>
      <c r="K36" s="328">
        <v>600</v>
      </c>
      <c r="L36" s="328" t="e">
        <f>#REF!</f>
        <v>#REF!</v>
      </c>
      <c r="M36" s="346" t="e">
        <f t="shared" si="2"/>
        <v>#REF!</v>
      </c>
      <c r="N36" s="335" t="e">
        <f t="shared" si="4"/>
        <v>#REF!</v>
      </c>
    </row>
    <row r="37" spans="1:14" ht="16.5" customHeight="1" hidden="1" thickBot="1">
      <c r="A37" s="1028"/>
      <c r="B37" s="344"/>
      <c r="C37" s="344"/>
      <c r="D37" s="344"/>
      <c r="E37" s="344"/>
      <c r="F37" s="493"/>
      <c r="G37" s="493"/>
      <c r="H37" s="347"/>
      <c r="I37" s="176"/>
      <c r="J37" s="343" t="s">
        <v>96</v>
      </c>
      <c r="K37" s="164">
        <v>0</v>
      </c>
      <c r="L37" s="164" t="e">
        <f>#REF!</f>
        <v>#REF!</v>
      </c>
      <c r="M37" s="325" t="e">
        <f t="shared" si="2"/>
        <v>#REF!</v>
      </c>
      <c r="N37" s="335"/>
    </row>
    <row r="38" spans="1:14" ht="16.5" customHeight="1" hidden="1">
      <c r="A38" s="1028"/>
      <c r="B38" s="344"/>
      <c r="C38" s="344"/>
      <c r="D38" s="344"/>
      <c r="E38" s="344"/>
      <c r="F38" s="493"/>
      <c r="G38" s="493"/>
      <c r="H38" s="347"/>
      <c r="I38" s="176"/>
      <c r="J38" s="343" t="s">
        <v>97</v>
      </c>
      <c r="K38" s="164">
        <v>0</v>
      </c>
      <c r="L38" s="164" t="e">
        <f>#REF!</f>
        <v>#REF!</v>
      </c>
      <c r="M38" s="325" t="e">
        <f aca="true" t="shared" si="5" ref="M38:M69">L38-K38</f>
        <v>#REF!</v>
      </c>
      <c r="N38" s="335"/>
    </row>
    <row r="39" spans="1:14" ht="16.5" customHeight="1" hidden="1">
      <c r="A39" s="1028"/>
      <c r="B39" s="344"/>
      <c r="C39" s="344"/>
      <c r="D39" s="344"/>
      <c r="E39" s="344"/>
      <c r="F39" s="493"/>
      <c r="G39" s="493"/>
      <c r="H39" s="347"/>
      <c r="I39" s="176"/>
      <c r="J39" s="343" t="s">
        <v>98</v>
      </c>
      <c r="K39" s="164">
        <v>0</v>
      </c>
      <c r="L39" s="164" t="e">
        <f>#REF!</f>
        <v>#REF!</v>
      </c>
      <c r="M39" s="325" t="e">
        <f t="shared" si="5"/>
        <v>#REF!</v>
      </c>
      <c r="N39" s="335"/>
    </row>
    <row r="40" spans="1:14" ht="18.75" customHeight="1">
      <c r="A40" s="1028"/>
      <c r="B40" s="493"/>
      <c r="C40" s="493"/>
      <c r="D40" s="493"/>
      <c r="E40" s="493"/>
      <c r="F40" s="493"/>
      <c r="G40" s="493"/>
      <c r="H40" s="498"/>
      <c r="I40" s="344"/>
      <c r="J40" s="345" t="s">
        <v>230</v>
      </c>
      <c r="K40" s="328">
        <v>750</v>
      </c>
      <c r="L40" s="328">
        <v>750</v>
      </c>
      <c r="M40" s="346">
        <f t="shared" si="5"/>
        <v>0</v>
      </c>
      <c r="N40" s="335">
        <f>(L40/K40%)-100</f>
        <v>0</v>
      </c>
    </row>
    <row r="41" spans="1:14" ht="16.5" customHeight="1">
      <c r="A41" s="1028"/>
      <c r="B41" s="344"/>
      <c r="C41" s="344"/>
      <c r="D41" s="344"/>
      <c r="E41" s="344"/>
      <c r="F41" s="493"/>
      <c r="G41" s="493"/>
      <c r="H41" s="347"/>
      <c r="I41" s="172"/>
      <c r="J41" s="343" t="s">
        <v>99</v>
      </c>
      <c r="K41" s="164">
        <v>39560</v>
      </c>
      <c r="L41" s="164">
        <v>40200</v>
      </c>
      <c r="M41" s="325">
        <f t="shared" si="5"/>
        <v>640</v>
      </c>
      <c r="N41" s="335">
        <f>(L41/K41%)-100</f>
        <v>1.6177957532861456</v>
      </c>
    </row>
    <row r="42" spans="1:14" ht="16.5" customHeight="1">
      <c r="A42" s="1028"/>
      <c r="B42" s="176"/>
      <c r="C42" s="176"/>
      <c r="D42" s="176"/>
      <c r="E42" s="176"/>
      <c r="F42" s="178"/>
      <c r="G42" s="178"/>
      <c r="H42" s="181"/>
      <c r="I42" s="177" t="s">
        <v>100</v>
      </c>
      <c r="J42" s="163"/>
      <c r="K42" s="164">
        <f>SUM(K43:K44)</f>
        <v>770</v>
      </c>
      <c r="L42" s="164">
        <f>SUM(L43:L44)</f>
        <v>1880</v>
      </c>
      <c r="M42" s="325">
        <f t="shared" si="5"/>
        <v>1110</v>
      </c>
      <c r="N42" s="335">
        <f>(L42/K42%)-100</f>
        <v>144.15584415584416</v>
      </c>
    </row>
    <row r="43" spans="1:14" ht="16.5" customHeight="1">
      <c r="A43" s="1028"/>
      <c r="B43" s="176"/>
      <c r="C43" s="176"/>
      <c r="D43" s="176"/>
      <c r="E43" s="176"/>
      <c r="F43" s="176"/>
      <c r="G43" s="174"/>
      <c r="H43" s="181"/>
      <c r="I43" s="178"/>
      <c r="J43" s="163" t="s">
        <v>101</v>
      </c>
      <c r="K43" s="164">
        <v>170</v>
      </c>
      <c r="L43" s="164">
        <v>680</v>
      </c>
      <c r="M43" s="325">
        <f t="shared" si="5"/>
        <v>510</v>
      </c>
      <c r="N43" s="335">
        <f>(L43/K43%)-100</f>
        <v>300</v>
      </c>
    </row>
    <row r="44" spans="1:14" ht="16.5" customHeight="1">
      <c r="A44" s="1028"/>
      <c r="B44" s="176"/>
      <c r="C44" s="176"/>
      <c r="D44" s="176"/>
      <c r="E44" s="176"/>
      <c r="F44" s="176"/>
      <c r="G44" s="174"/>
      <c r="H44" s="181"/>
      <c r="I44" s="178"/>
      <c r="J44" s="163" t="s">
        <v>102</v>
      </c>
      <c r="K44" s="164">
        <v>600</v>
      </c>
      <c r="L44" s="164">
        <v>1200</v>
      </c>
      <c r="M44" s="325">
        <f t="shared" si="5"/>
        <v>600</v>
      </c>
      <c r="N44" s="335">
        <f>(L44/K44%)-100</f>
        <v>100</v>
      </c>
    </row>
    <row r="45" spans="1:14" ht="16.5" customHeight="1" hidden="1">
      <c r="A45" s="1028"/>
      <c r="B45" s="176"/>
      <c r="C45" s="176"/>
      <c r="D45" s="176"/>
      <c r="E45" s="176"/>
      <c r="F45" s="176"/>
      <c r="G45" s="174"/>
      <c r="H45" s="181"/>
      <c r="I45" s="178"/>
      <c r="J45" s="163" t="s">
        <v>103</v>
      </c>
      <c r="K45" s="164">
        <v>0</v>
      </c>
      <c r="L45" s="164" t="e">
        <f>#REF!</f>
        <v>#REF!</v>
      </c>
      <c r="M45" s="325" t="e">
        <f t="shared" si="5"/>
        <v>#REF!</v>
      </c>
      <c r="N45" s="335"/>
    </row>
    <row r="46" spans="1:14" ht="16.5" customHeight="1" hidden="1">
      <c r="A46" s="1028"/>
      <c r="B46" s="176"/>
      <c r="C46" s="176"/>
      <c r="D46" s="176"/>
      <c r="E46" s="176"/>
      <c r="F46" s="176"/>
      <c r="G46" s="174"/>
      <c r="H46" s="181"/>
      <c r="I46" s="178"/>
      <c r="J46" s="163" t="s">
        <v>104</v>
      </c>
      <c r="K46" s="164">
        <v>0</v>
      </c>
      <c r="L46" s="164" t="e">
        <f>#REF!</f>
        <v>#REF!</v>
      </c>
      <c r="M46" s="325" t="e">
        <f t="shared" si="5"/>
        <v>#REF!</v>
      </c>
      <c r="N46" s="335"/>
    </row>
    <row r="47" spans="1:14" ht="18.75" customHeight="1" hidden="1">
      <c r="A47" s="1028"/>
      <c r="B47" s="176"/>
      <c r="C47" s="176"/>
      <c r="D47" s="176"/>
      <c r="E47" s="176"/>
      <c r="F47" s="176"/>
      <c r="G47" s="174"/>
      <c r="H47" s="181"/>
      <c r="I47" s="70"/>
      <c r="J47" s="162" t="s">
        <v>105</v>
      </c>
      <c r="K47" s="166">
        <v>0</v>
      </c>
      <c r="L47" s="166" t="e">
        <f>#REF!</f>
        <v>#REF!</v>
      </c>
      <c r="M47" s="325" t="e">
        <f t="shared" si="5"/>
        <v>#REF!</v>
      </c>
      <c r="N47" s="335"/>
    </row>
    <row r="48" spans="1:14" ht="18.75" customHeight="1">
      <c r="A48" s="1028"/>
      <c r="B48" s="176"/>
      <c r="C48" s="176"/>
      <c r="D48" s="176"/>
      <c r="E48" s="176"/>
      <c r="F48" s="176"/>
      <c r="G48" s="174"/>
      <c r="H48" s="182"/>
      <c r="I48" s="964" t="s">
        <v>89</v>
      </c>
      <c r="J48" s="162"/>
      <c r="K48" s="166">
        <f>K49+K50+K51+K52+K67</f>
        <v>29943</v>
      </c>
      <c r="L48" s="166">
        <f>L49+L50+L51+L52+L67</f>
        <v>37717</v>
      </c>
      <c r="M48" s="325">
        <f t="shared" si="5"/>
        <v>7774</v>
      </c>
      <c r="N48" s="335">
        <f aca="true" t="shared" si="6" ref="N48:N66">(L48/K48%)-100</f>
        <v>25.9626623918779</v>
      </c>
    </row>
    <row r="49" spans="1:14" ht="18.75" customHeight="1">
      <c r="A49" s="1028"/>
      <c r="B49" s="176"/>
      <c r="C49" s="176"/>
      <c r="D49" s="176"/>
      <c r="E49" s="176"/>
      <c r="F49" s="176"/>
      <c r="G49" s="174"/>
      <c r="H49" s="182"/>
      <c r="I49" s="454"/>
      <c r="J49" s="162" t="s">
        <v>106</v>
      </c>
      <c r="K49" s="166">
        <v>4390</v>
      </c>
      <c r="L49" s="166">
        <v>6440</v>
      </c>
      <c r="M49" s="325">
        <f t="shared" si="5"/>
        <v>2050</v>
      </c>
      <c r="N49" s="335">
        <f t="shared" si="6"/>
        <v>46.697038724373584</v>
      </c>
    </row>
    <row r="50" spans="1:14" ht="18.75" customHeight="1">
      <c r="A50" s="1028"/>
      <c r="B50" s="176"/>
      <c r="C50" s="176"/>
      <c r="D50" s="176"/>
      <c r="E50" s="176"/>
      <c r="F50" s="176"/>
      <c r="G50" s="174"/>
      <c r="H50" s="182"/>
      <c r="I50" s="454"/>
      <c r="J50" s="162" t="s">
        <v>107</v>
      </c>
      <c r="K50" s="166">
        <v>18737</v>
      </c>
      <c r="L50" s="166">
        <v>22971</v>
      </c>
      <c r="M50" s="325">
        <f t="shared" si="5"/>
        <v>4234</v>
      </c>
      <c r="N50" s="335">
        <f t="shared" si="6"/>
        <v>22.59700058707371</v>
      </c>
    </row>
    <row r="51" spans="1:14" ht="18.75" customHeight="1">
      <c r="A51" s="1028"/>
      <c r="B51" s="176"/>
      <c r="C51" s="176"/>
      <c r="D51" s="176"/>
      <c r="E51" s="176"/>
      <c r="F51" s="176"/>
      <c r="G51" s="174"/>
      <c r="H51" s="182"/>
      <c r="I51" s="454"/>
      <c r="J51" s="162" t="s">
        <v>108</v>
      </c>
      <c r="K51" s="166">
        <v>1251</v>
      </c>
      <c r="L51" s="166">
        <v>3160</v>
      </c>
      <c r="M51" s="325">
        <f t="shared" si="5"/>
        <v>1909</v>
      </c>
      <c r="N51" s="335">
        <f t="shared" si="6"/>
        <v>152.59792166266988</v>
      </c>
    </row>
    <row r="52" spans="1:14" ht="18.75" customHeight="1">
      <c r="A52" s="1028"/>
      <c r="B52" s="176"/>
      <c r="C52" s="176"/>
      <c r="D52" s="176"/>
      <c r="E52" s="176"/>
      <c r="F52" s="176"/>
      <c r="G52" s="174"/>
      <c r="H52" s="182"/>
      <c r="I52" s="454"/>
      <c r="J52" s="162" t="s">
        <v>109</v>
      </c>
      <c r="K52" s="166">
        <v>1721</v>
      </c>
      <c r="L52" s="166">
        <v>1146</v>
      </c>
      <c r="M52" s="325">
        <f t="shared" si="5"/>
        <v>-575</v>
      </c>
      <c r="N52" s="335">
        <f t="shared" si="6"/>
        <v>-33.410807669959325</v>
      </c>
    </row>
    <row r="53" spans="1:14" ht="16.5" customHeight="1" hidden="1">
      <c r="A53" s="1028"/>
      <c r="B53" s="176"/>
      <c r="C53" s="176"/>
      <c r="D53" s="176"/>
      <c r="E53" s="176"/>
      <c r="F53" s="176"/>
      <c r="G53" s="174"/>
      <c r="H53" s="348"/>
      <c r="I53" s="171"/>
      <c r="J53" s="139" t="s">
        <v>110</v>
      </c>
      <c r="K53" s="166" t="e">
        <v>#REF!</v>
      </c>
      <c r="L53" s="166" t="e">
        <f>#REF!</f>
        <v>#REF!</v>
      </c>
      <c r="M53" s="325" t="e">
        <f t="shared" si="5"/>
        <v>#REF!</v>
      </c>
      <c r="N53" s="335" t="e">
        <f t="shared" si="6"/>
        <v>#REF!</v>
      </c>
    </row>
    <row r="54" spans="1:14" ht="16.5" customHeight="1" hidden="1">
      <c r="A54" s="1028"/>
      <c r="B54" s="131"/>
      <c r="C54" s="131"/>
      <c r="D54" s="131"/>
      <c r="E54" s="131"/>
      <c r="F54" s="131"/>
      <c r="G54" s="503"/>
      <c r="H54" s="183" t="s">
        <v>120</v>
      </c>
      <c r="I54" s="231"/>
      <c r="J54" s="231"/>
      <c r="K54" s="168">
        <v>0</v>
      </c>
      <c r="L54" s="168" t="e">
        <f>L55+L56</f>
        <v>#REF!</v>
      </c>
      <c r="M54" s="325" t="e">
        <f t="shared" si="5"/>
        <v>#REF!</v>
      </c>
      <c r="N54" s="335" t="e">
        <f t="shared" si="6"/>
        <v>#REF!</v>
      </c>
    </row>
    <row r="55" spans="1:14" ht="16.5" customHeight="1" hidden="1">
      <c r="A55" s="1028"/>
      <c r="B55" s="131"/>
      <c r="C55" s="131"/>
      <c r="D55" s="131"/>
      <c r="E55" s="131"/>
      <c r="F55" s="131"/>
      <c r="G55" s="503"/>
      <c r="H55" s="182"/>
      <c r="I55" s="139" t="s">
        <v>121</v>
      </c>
      <c r="J55" s="162"/>
      <c r="K55" s="166">
        <v>0</v>
      </c>
      <c r="L55" s="166" t="e">
        <f>#REF!</f>
        <v>#REF!</v>
      </c>
      <c r="M55" s="325" t="e">
        <f t="shared" si="5"/>
        <v>#REF!</v>
      </c>
      <c r="N55" s="335" t="e">
        <f t="shared" si="6"/>
        <v>#REF!</v>
      </c>
    </row>
    <row r="56" spans="1:14" ht="16.5" customHeight="1" hidden="1">
      <c r="A56" s="1028"/>
      <c r="B56" s="131"/>
      <c r="C56" s="131"/>
      <c r="D56" s="131"/>
      <c r="E56" s="131"/>
      <c r="F56" s="131"/>
      <c r="G56" s="503"/>
      <c r="H56" s="182"/>
      <c r="I56" s="171"/>
      <c r="J56" s="162" t="s">
        <v>122</v>
      </c>
      <c r="K56" s="166">
        <v>0</v>
      </c>
      <c r="L56" s="166" t="e">
        <f>#REF!</f>
        <v>#REF!</v>
      </c>
      <c r="M56" s="325" t="e">
        <f t="shared" si="5"/>
        <v>#REF!</v>
      </c>
      <c r="N56" s="335" t="e">
        <f t="shared" si="6"/>
        <v>#REF!</v>
      </c>
    </row>
    <row r="57" spans="1:14" ht="16.5" customHeight="1" hidden="1">
      <c r="A57" s="1028"/>
      <c r="B57" s="131"/>
      <c r="C57" s="131"/>
      <c r="D57" s="131"/>
      <c r="E57" s="131"/>
      <c r="F57" s="131"/>
      <c r="G57" s="503"/>
      <c r="H57" s="183" t="s">
        <v>49</v>
      </c>
      <c r="I57" s="340"/>
      <c r="J57" s="162"/>
      <c r="K57" s="166">
        <v>0</v>
      </c>
      <c r="L57" s="166" t="e">
        <f>L58</f>
        <v>#REF!</v>
      </c>
      <c r="M57" s="325" t="e">
        <f t="shared" si="5"/>
        <v>#REF!</v>
      </c>
      <c r="N57" s="335" t="e">
        <f t="shared" si="6"/>
        <v>#REF!</v>
      </c>
    </row>
    <row r="58" spans="1:14" ht="16.5" customHeight="1" hidden="1">
      <c r="A58" s="1028"/>
      <c r="B58" s="131"/>
      <c r="C58" s="131"/>
      <c r="D58" s="131"/>
      <c r="E58" s="131"/>
      <c r="F58" s="131"/>
      <c r="G58" s="503"/>
      <c r="H58" s="182"/>
      <c r="I58" s="139" t="s">
        <v>111</v>
      </c>
      <c r="J58" s="162"/>
      <c r="K58" s="166">
        <v>0</v>
      </c>
      <c r="L58" s="166" t="e">
        <f>SUM(L59:L60)</f>
        <v>#REF!</v>
      </c>
      <c r="M58" s="325" t="e">
        <f t="shared" si="5"/>
        <v>#REF!</v>
      </c>
      <c r="N58" s="335" t="e">
        <f t="shared" si="6"/>
        <v>#REF!</v>
      </c>
    </row>
    <row r="59" spans="1:14" ht="18.75" customHeight="1" hidden="1">
      <c r="A59" s="1028"/>
      <c r="B59" s="131"/>
      <c r="C59" s="131"/>
      <c r="D59" s="131"/>
      <c r="E59" s="131"/>
      <c r="F59" s="131"/>
      <c r="G59" s="503"/>
      <c r="H59" s="182"/>
      <c r="I59" s="340"/>
      <c r="J59" s="162" t="s">
        <v>112</v>
      </c>
      <c r="K59" s="166">
        <v>0</v>
      </c>
      <c r="L59" s="166" t="e">
        <f>#REF!</f>
        <v>#REF!</v>
      </c>
      <c r="M59" s="325" t="e">
        <f t="shared" si="5"/>
        <v>#REF!</v>
      </c>
      <c r="N59" s="335" t="e">
        <f t="shared" si="6"/>
        <v>#REF!</v>
      </c>
    </row>
    <row r="60" spans="1:14" ht="18.75" customHeight="1" hidden="1">
      <c r="A60" s="1028"/>
      <c r="B60" s="131"/>
      <c r="C60" s="131"/>
      <c r="D60" s="131"/>
      <c r="E60" s="131"/>
      <c r="F60" s="131"/>
      <c r="G60" s="503"/>
      <c r="H60" s="182"/>
      <c r="I60" s="171"/>
      <c r="J60" s="162" t="s">
        <v>113</v>
      </c>
      <c r="K60" s="166">
        <v>0</v>
      </c>
      <c r="L60" s="166" t="e">
        <f>#REF!</f>
        <v>#REF!</v>
      </c>
      <c r="M60" s="325" t="e">
        <f t="shared" si="5"/>
        <v>#REF!</v>
      </c>
      <c r="N60" s="335" t="e">
        <f t="shared" si="6"/>
        <v>#REF!</v>
      </c>
    </row>
    <row r="61" spans="1:14" ht="18.75" customHeight="1" hidden="1">
      <c r="A61" s="1028"/>
      <c r="B61" s="131"/>
      <c r="C61" s="131"/>
      <c r="D61" s="131"/>
      <c r="E61" s="131"/>
      <c r="F61" s="131"/>
      <c r="G61" s="503"/>
      <c r="H61" s="183" t="s">
        <v>50</v>
      </c>
      <c r="I61" s="503"/>
      <c r="J61" s="162"/>
      <c r="K61" s="168">
        <v>350</v>
      </c>
      <c r="L61" s="168" t="e">
        <f>L62</f>
        <v>#REF!</v>
      </c>
      <c r="M61" s="326" t="e">
        <f t="shared" si="5"/>
        <v>#REF!</v>
      </c>
      <c r="N61" s="335" t="e">
        <f t="shared" si="6"/>
        <v>#REF!</v>
      </c>
    </row>
    <row r="62" spans="1:14" ht="18.75" customHeight="1" hidden="1">
      <c r="A62" s="1028"/>
      <c r="B62" s="131"/>
      <c r="C62" s="131"/>
      <c r="D62" s="131"/>
      <c r="E62" s="131"/>
      <c r="F62" s="131"/>
      <c r="G62" s="503"/>
      <c r="H62" s="182"/>
      <c r="I62" s="139" t="s">
        <v>114</v>
      </c>
      <c r="J62" s="162"/>
      <c r="K62" s="166">
        <v>350</v>
      </c>
      <c r="L62" s="166" t="e">
        <f>L63</f>
        <v>#REF!</v>
      </c>
      <c r="M62" s="325" t="e">
        <f t="shared" si="5"/>
        <v>#REF!</v>
      </c>
      <c r="N62" s="335" t="e">
        <f t="shared" si="6"/>
        <v>#REF!</v>
      </c>
    </row>
    <row r="63" spans="1:14" ht="18.75" customHeight="1" hidden="1">
      <c r="A63" s="1028"/>
      <c r="B63" s="131"/>
      <c r="C63" s="131"/>
      <c r="D63" s="131"/>
      <c r="E63" s="131"/>
      <c r="F63" s="131"/>
      <c r="G63" s="503"/>
      <c r="H63" s="182"/>
      <c r="I63" s="171"/>
      <c r="J63" s="162" t="s">
        <v>114</v>
      </c>
      <c r="K63" s="166">
        <v>350</v>
      </c>
      <c r="L63" s="166" t="e">
        <f>#REF!</f>
        <v>#REF!</v>
      </c>
      <c r="M63" s="325" t="e">
        <f t="shared" si="5"/>
        <v>#REF!</v>
      </c>
      <c r="N63" s="335" t="e">
        <f t="shared" si="6"/>
        <v>#REF!</v>
      </c>
    </row>
    <row r="64" spans="1:14" ht="18.75" customHeight="1" hidden="1">
      <c r="A64" s="1028"/>
      <c r="B64" s="131"/>
      <c r="C64" s="131"/>
      <c r="D64" s="131"/>
      <c r="E64" s="131"/>
      <c r="F64" s="131"/>
      <c r="G64" s="503"/>
      <c r="H64" s="183" t="s">
        <v>156</v>
      </c>
      <c r="I64" s="503"/>
      <c r="J64" s="162"/>
      <c r="K64" s="368">
        <v>0</v>
      </c>
      <c r="L64" s="368" t="e">
        <f>L65</f>
        <v>#REF!</v>
      </c>
      <c r="M64" s="326" t="e">
        <f t="shared" si="5"/>
        <v>#REF!</v>
      </c>
      <c r="N64" s="335" t="e">
        <f t="shared" si="6"/>
        <v>#REF!</v>
      </c>
    </row>
    <row r="65" spans="1:14" ht="18.75" customHeight="1" hidden="1">
      <c r="A65" s="1028"/>
      <c r="B65" s="131"/>
      <c r="C65" s="131"/>
      <c r="D65" s="131"/>
      <c r="E65" s="131"/>
      <c r="F65" s="131"/>
      <c r="G65" s="503"/>
      <c r="H65" s="182"/>
      <c r="I65" s="139" t="s">
        <v>157</v>
      </c>
      <c r="J65" s="162"/>
      <c r="K65" s="367">
        <v>0</v>
      </c>
      <c r="L65" s="367" t="e">
        <f>L66</f>
        <v>#REF!</v>
      </c>
      <c r="M65" s="325" t="e">
        <f t="shared" si="5"/>
        <v>#REF!</v>
      </c>
      <c r="N65" s="335" t="e">
        <f t="shared" si="6"/>
        <v>#REF!</v>
      </c>
    </row>
    <row r="66" spans="1:14" ht="16.5" customHeight="1" hidden="1">
      <c r="A66" s="1028"/>
      <c r="B66" s="131"/>
      <c r="C66" s="131"/>
      <c r="D66" s="131"/>
      <c r="E66" s="131"/>
      <c r="F66" s="131"/>
      <c r="G66" s="503"/>
      <c r="H66" s="182"/>
      <c r="I66" s="171" t="s">
        <v>158</v>
      </c>
      <c r="J66" s="162" t="s">
        <v>157</v>
      </c>
      <c r="K66" s="367">
        <v>0</v>
      </c>
      <c r="L66" s="367" t="e">
        <f>#REF!</f>
        <v>#REF!</v>
      </c>
      <c r="M66" s="325" t="e">
        <f t="shared" si="5"/>
        <v>#REF!</v>
      </c>
      <c r="N66" s="335" t="e">
        <f t="shared" si="6"/>
        <v>#REF!</v>
      </c>
    </row>
    <row r="67" spans="1:14" ht="18.75" customHeight="1">
      <c r="A67" s="1028"/>
      <c r="B67" s="176"/>
      <c r="C67" s="176"/>
      <c r="D67" s="176"/>
      <c r="E67" s="176"/>
      <c r="F67" s="176"/>
      <c r="G67" s="174"/>
      <c r="H67" s="182"/>
      <c r="I67" s="454"/>
      <c r="J67" s="162" t="s">
        <v>601</v>
      </c>
      <c r="K67" s="166">
        <v>3844</v>
      </c>
      <c r="L67" s="166">
        <v>4000</v>
      </c>
      <c r="M67" s="325">
        <f t="shared" si="5"/>
        <v>156</v>
      </c>
      <c r="N67" s="335"/>
    </row>
    <row r="68" spans="1:14" ht="16.5" customHeight="1">
      <c r="A68" s="1028"/>
      <c r="B68" s="131"/>
      <c r="C68" s="131"/>
      <c r="D68" s="131"/>
      <c r="E68" s="131"/>
      <c r="F68" s="131"/>
      <c r="G68" s="503"/>
      <c r="H68" s="183" t="s">
        <v>50</v>
      </c>
      <c r="I68" s="162"/>
      <c r="J68" s="179"/>
      <c r="K68" s="366">
        <f>K69</f>
        <v>712</v>
      </c>
      <c r="L68" s="366">
        <f>L69</f>
        <v>4262</v>
      </c>
      <c r="M68" s="346">
        <f t="shared" si="5"/>
        <v>3550</v>
      </c>
      <c r="N68" s="335">
        <f aca="true" t="shared" si="7" ref="N68:N73">(L68/K68%)-100</f>
        <v>498.59550561797755</v>
      </c>
    </row>
    <row r="69" spans="1:14" ht="16.5" customHeight="1">
      <c r="A69" s="1028"/>
      <c r="B69" s="131"/>
      <c r="C69" s="131"/>
      <c r="D69" s="131"/>
      <c r="E69" s="131"/>
      <c r="F69" s="131"/>
      <c r="G69" s="503"/>
      <c r="H69" s="182"/>
      <c r="I69" s="180" t="s">
        <v>563</v>
      </c>
      <c r="J69" s="179"/>
      <c r="K69" s="166">
        <f>K70</f>
        <v>712</v>
      </c>
      <c r="L69" s="166">
        <f>L70</f>
        <v>4262</v>
      </c>
      <c r="M69" s="325">
        <f t="shared" si="5"/>
        <v>3550</v>
      </c>
      <c r="N69" s="335">
        <f t="shared" si="7"/>
        <v>498.59550561797755</v>
      </c>
    </row>
    <row r="70" spans="1:14" ht="14.25">
      <c r="A70" s="1028"/>
      <c r="B70" s="131"/>
      <c r="C70" s="131"/>
      <c r="D70" s="131"/>
      <c r="E70" s="131"/>
      <c r="F70" s="131"/>
      <c r="G70" s="846"/>
      <c r="H70" s="348"/>
      <c r="I70" s="847"/>
      <c r="J70" s="179" t="s">
        <v>563</v>
      </c>
      <c r="K70" s="166">
        <v>712</v>
      </c>
      <c r="L70" s="166">
        <v>4262</v>
      </c>
      <c r="M70" s="325">
        <f aca="true" t="shared" si="8" ref="M70:M73">L70-K70</f>
        <v>3550</v>
      </c>
      <c r="N70" s="335">
        <f t="shared" si="7"/>
        <v>498.59550561797755</v>
      </c>
    </row>
    <row r="71" spans="1:14" ht="16.5" customHeight="1">
      <c r="A71" s="1028"/>
      <c r="B71" s="131"/>
      <c r="C71" s="131"/>
      <c r="D71" s="131"/>
      <c r="E71" s="131"/>
      <c r="F71" s="131"/>
      <c r="G71" s="503"/>
      <c r="H71" s="182" t="s">
        <v>155</v>
      </c>
      <c r="I71" s="171"/>
      <c r="J71" s="847"/>
      <c r="K71" s="366">
        <f>K72</f>
        <v>6642</v>
      </c>
      <c r="L71" s="366">
        <f>L72</f>
        <v>5413</v>
      </c>
      <c r="M71" s="346">
        <f t="shared" si="8"/>
        <v>-1229</v>
      </c>
      <c r="N71" s="335">
        <f t="shared" si="7"/>
        <v>-18.5034628124059</v>
      </c>
    </row>
    <row r="72" spans="1:14" ht="16.5" customHeight="1">
      <c r="A72" s="1028"/>
      <c r="B72" s="131"/>
      <c r="C72" s="131"/>
      <c r="D72" s="131"/>
      <c r="E72" s="131"/>
      <c r="F72" s="131"/>
      <c r="G72" s="503"/>
      <c r="H72" s="182"/>
      <c r="I72" s="180" t="s">
        <v>115</v>
      </c>
      <c r="J72" s="179"/>
      <c r="K72" s="166">
        <f>K73</f>
        <v>6642</v>
      </c>
      <c r="L72" s="166">
        <f>L73</f>
        <v>5413</v>
      </c>
      <c r="M72" s="325">
        <f t="shared" si="8"/>
        <v>-1229</v>
      </c>
      <c r="N72" s="335">
        <f t="shared" si="7"/>
        <v>-18.5034628124059</v>
      </c>
    </row>
    <row r="73" spans="1:14" ht="15" thickBot="1">
      <c r="A73" s="1029"/>
      <c r="B73" s="186"/>
      <c r="C73" s="186"/>
      <c r="D73" s="186"/>
      <c r="E73" s="186"/>
      <c r="F73" s="186"/>
      <c r="G73" s="187"/>
      <c r="H73" s="188"/>
      <c r="I73" s="189"/>
      <c r="J73" s="190" t="s">
        <v>115</v>
      </c>
      <c r="K73" s="167">
        <v>6642</v>
      </c>
      <c r="L73" s="167">
        <v>5413</v>
      </c>
      <c r="M73" s="327">
        <f t="shared" si="8"/>
        <v>-1229</v>
      </c>
      <c r="N73" s="369">
        <f t="shared" si="7"/>
        <v>-18.5034628124059</v>
      </c>
    </row>
    <row r="74" spans="8:14" ht="14.25">
      <c r="H74" s="504"/>
      <c r="I74" s="504"/>
      <c r="J74" s="504"/>
      <c r="K74" s="969"/>
      <c r="L74" s="500" t="s">
        <v>124</v>
      </c>
      <c r="M74" s="500"/>
      <c r="N74" s="500"/>
    </row>
  </sheetData>
  <mergeCells count="20">
    <mergeCell ref="D4:D5"/>
    <mergeCell ref="H4:H5"/>
    <mergeCell ref="H3:N3"/>
    <mergeCell ref="H25:H26"/>
    <mergeCell ref="A30:A73"/>
    <mergeCell ref="A6:C6"/>
    <mergeCell ref="H6:J6"/>
    <mergeCell ref="A1:N1"/>
    <mergeCell ref="L4:L5"/>
    <mergeCell ref="K4:K5"/>
    <mergeCell ref="I4:I5"/>
    <mergeCell ref="J4:J5"/>
    <mergeCell ref="A3:G3"/>
    <mergeCell ref="L2:N2"/>
    <mergeCell ref="F4:G4"/>
    <mergeCell ref="M4:N4"/>
    <mergeCell ref="A4:A5"/>
    <mergeCell ref="B4:B5"/>
    <mergeCell ref="C4:C5"/>
    <mergeCell ref="E4:E5"/>
  </mergeCells>
  <printOptions/>
  <pageMargins left="0.5905511811023623" right="0.1968503937007874" top="0.5511811023622047" bottom="0.2362204724409449" header="0.5118110236220472" footer="0.2755905511811024"/>
  <pageSetup horizontalDpi="600" verticalDpi="600" orientation="landscape" paperSize="9" scale="95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view="pageBreakPreview" zoomScaleSheetLayoutView="100" zoomScalePageLayoutView="55" workbookViewId="0" topLeftCell="C1">
      <selection activeCell="I18" sqref="I18:S18"/>
    </sheetView>
  </sheetViews>
  <sheetFormatPr defaultColWidth="8.88671875" defaultRowHeight="13.5"/>
  <cols>
    <col min="1" max="1" width="9.99609375" style="0" customWidth="1"/>
    <col min="2" max="2" width="10.21484375" style="0" customWidth="1"/>
    <col min="3" max="3" width="10.3359375" style="0" customWidth="1"/>
    <col min="4" max="4" width="10.99609375" style="0" customWidth="1"/>
    <col min="5" max="6" width="13.88671875" style="0" customWidth="1"/>
    <col min="7" max="7" width="10.77734375" style="220" customWidth="1"/>
    <col min="8" max="8" width="17.10546875" style="0" customWidth="1"/>
    <col min="9" max="9" width="11.21484375" style="0" customWidth="1"/>
    <col min="10" max="10" width="1.66796875" style="0" customWidth="1"/>
    <col min="11" max="11" width="1.99609375" style="0" customWidth="1"/>
    <col min="12" max="12" width="2.5546875" style="0" customWidth="1"/>
    <col min="13" max="13" width="2.10546875" style="0" customWidth="1"/>
    <col min="14" max="14" width="1.99609375" style="0" customWidth="1"/>
    <col min="15" max="16" width="2.6640625" style="0" customWidth="1"/>
    <col min="17" max="17" width="2.4453125" style="0" customWidth="1"/>
    <col min="18" max="18" width="2.10546875" style="0" customWidth="1"/>
    <col min="19" max="19" width="2.5546875" style="0" customWidth="1"/>
    <col min="20" max="20" width="1.2265625" style="0" customWidth="1"/>
    <col min="21" max="21" width="2.21484375" style="0" customWidth="1"/>
    <col min="22" max="22" width="1.66796875" style="0" customWidth="1"/>
    <col min="23" max="23" width="2.5546875" style="0" hidden="1" customWidth="1"/>
    <col min="24" max="24" width="12.10546875" style="0" customWidth="1"/>
  </cols>
  <sheetData>
    <row r="1" spans="1:24" s="5" customFormat="1" ht="35.25" customHeight="1">
      <c r="A1" s="1082" t="s">
        <v>782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  <c r="S1" s="1082"/>
      <c r="T1" s="1082"/>
      <c r="U1" s="1082"/>
      <c r="V1" s="1082"/>
      <c r="W1" s="1082"/>
      <c r="X1" s="1082"/>
    </row>
    <row r="2" spans="1:24" s="5" customFormat="1" ht="18.75" customHeight="1" thickBot="1">
      <c r="A2" s="1097"/>
      <c r="B2" s="1097"/>
      <c r="C2" s="1097"/>
      <c r="D2" s="47"/>
      <c r="E2" s="965"/>
      <c r="F2" s="47"/>
      <c r="G2" s="222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8" t="s">
        <v>127</v>
      </c>
    </row>
    <row r="3" spans="1:24" ht="33.75" customHeight="1" thickBot="1">
      <c r="A3" s="303" t="s">
        <v>0</v>
      </c>
      <c r="B3" s="559" t="s">
        <v>1</v>
      </c>
      <c r="C3" s="559" t="s">
        <v>2</v>
      </c>
      <c r="D3" s="559" t="s">
        <v>10</v>
      </c>
      <c r="E3" s="475" t="s">
        <v>785</v>
      </c>
      <c r="F3" s="307" t="s">
        <v>786</v>
      </c>
      <c r="G3" s="304" t="s">
        <v>787</v>
      </c>
      <c r="H3" s="1100" t="s">
        <v>783</v>
      </c>
      <c r="I3" s="1100"/>
      <c r="J3" s="1100"/>
      <c r="K3" s="1100"/>
      <c r="L3" s="1100"/>
      <c r="M3" s="1100"/>
      <c r="N3" s="1100"/>
      <c r="O3" s="1100"/>
      <c r="P3" s="1100"/>
      <c r="Q3" s="1100"/>
      <c r="R3" s="1100"/>
      <c r="S3" s="1100"/>
      <c r="T3" s="1100"/>
      <c r="U3" s="1100"/>
      <c r="V3" s="1100"/>
      <c r="W3" s="1100"/>
      <c r="X3" s="1101"/>
    </row>
    <row r="4" spans="1:24" s="6" customFormat="1" ht="33.75" customHeight="1" thickBot="1">
      <c r="A4" s="1093" t="s">
        <v>13</v>
      </c>
      <c r="B4" s="1094"/>
      <c r="C4" s="1094"/>
      <c r="D4" s="1094"/>
      <c r="E4" s="612">
        <f>SUM(E5,E10,E52,E60,E68,E76,E88)</f>
        <v>1067200</v>
      </c>
      <c r="F4" s="612">
        <f>SUM(F5,F10,F52,F60,F68,F76,F88)</f>
        <v>1077969.115</v>
      </c>
      <c r="G4" s="613">
        <f>F4-E4</f>
        <v>10769.11499999999</v>
      </c>
      <c r="H4" s="614" t="s">
        <v>788</v>
      </c>
      <c r="I4" s="615"/>
      <c r="J4" s="616"/>
      <c r="K4" s="617"/>
      <c r="L4" s="617"/>
      <c r="M4" s="616"/>
      <c r="N4" s="616"/>
      <c r="O4" s="616"/>
      <c r="P4" s="618"/>
      <c r="Q4" s="618"/>
      <c r="R4" s="616"/>
      <c r="S4" s="616"/>
      <c r="T4" s="616"/>
      <c r="U4" s="616"/>
      <c r="V4" s="616"/>
      <c r="W4" s="619"/>
      <c r="X4" s="620"/>
    </row>
    <row r="5" spans="1:24" ht="20.25" customHeight="1">
      <c r="A5" s="1085" t="s">
        <v>17</v>
      </c>
      <c r="B5" s="305"/>
      <c r="C5" s="146"/>
      <c r="D5" s="146"/>
      <c r="E5" s="194">
        <f>SUM(E6)</f>
        <v>40680</v>
      </c>
      <c r="F5" s="194">
        <f>SUM(F6)</f>
        <v>40680</v>
      </c>
      <c r="G5" s="353">
        <f>F5-E5</f>
        <v>0</v>
      </c>
      <c r="H5" s="84"/>
      <c r="I5" s="85"/>
      <c r="J5" s="86"/>
      <c r="K5" s="87"/>
      <c r="L5" s="87"/>
      <c r="M5" s="86"/>
      <c r="N5" s="86"/>
      <c r="O5" s="86"/>
      <c r="P5" s="126"/>
      <c r="Q5" s="126"/>
      <c r="R5" s="86"/>
      <c r="S5" s="86"/>
      <c r="T5" s="86"/>
      <c r="U5" s="86"/>
      <c r="V5" s="86"/>
      <c r="W5" s="89"/>
      <c r="X5" s="306"/>
    </row>
    <row r="6" spans="1:24" ht="18.75" customHeight="1">
      <c r="A6" s="1086"/>
      <c r="B6" s="1051" t="s">
        <v>7</v>
      </c>
      <c r="C6" s="142"/>
      <c r="D6" s="569"/>
      <c r="E6" s="69">
        <v>40680</v>
      </c>
      <c r="F6" s="73">
        <f>SUM(F7)</f>
        <v>40680</v>
      </c>
      <c r="G6" s="295">
        <f>F6-E6</f>
        <v>0</v>
      </c>
      <c r="H6" s="58"/>
      <c r="I6" s="59"/>
      <c r="J6" s="555"/>
      <c r="K6" s="60"/>
      <c r="L6" s="60"/>
      <c r="M6" s="555"/>
      <c r="N6" s="555"/>
      <c r="O6" s="555"/>
      <c r="P6" s="61"/>
      <c r="Q6" s="61"/>
      <c r="R6" s="555"/>
      <c r="S6" s="555"/>
      <c r="T6" s="555"/>
      <c r="U6" s="555"/>
      <c r="V6" s="555"/>
      <c r="W6" s="62"/>
      <c r="X6" s="99"/>
    </row>
    <row r="7" spans="1:24" ht="18.75" customHeight="1">
      <c r="A7" s="580"/>
      <c r="B7" s="1052"/>
      <c r="C7" s="1087" t="s">
        <v>8</v>
      </c>
      <c r="D7" s="574"/>
      <c r="E7" s="107">
        <v>40680</v>
      </c>
      <c r="F7" s="69">
        <f>F8</f>
        <v>40680</v>
      </c>
      <c r="G7" s="295">
        <f>F7-E7</f>
        <v>0</v>
      </c>
      <c r="H7" s="1098"/>
      <c r="I7" s="1099"/>
      <c r="J7" s="1099"/>
      <c r="K7" s="1099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100"/>
    </row>
    <row r="8" spans="1:24" ht="18.75" customHeight="1">
      <c r="A8" s="580"/>
      <c r="B8" s="574"/>
      <c r="C8" s="1088"/>
      <c r="D8" s="1051" t="s">
        <v>11</v>
      </c>
      <c r="E8" s="68">
        <v>40680</v>
      </c>
      <c r="F8" s="68">
        <v>40680</v>
      </c>
      <c r="G8" s="295">
        <f>F8-E8</f>
        <v>0</v>
      </c>
      <c r="H8" s="1095" t="s">
        <v>430</v>
      </c>
      <c r="I8" s="1096"/>
      <c r="J8" s="1096"/>
      <c r="K8" s="1096"/>
      <c r="L8" s="1096"/>
      <c r="M8" s="1096"/>
      <c r="N8" s="1096"/>
      <c r="O8" s="1096"/>
      <c r="P8" s="1096"/>
      <c r="Q8" s="1096"/>
      <c r="R8" s="1096"/>
      <c r="S8" s="1096"/>
      <c r="T8" s="1096"/>
      <c r="U8" s="1096"/>
      <c r="V8" s="548"/>
      <c r="W8" s="571"/>
      <c r="X8" s="486">
        <v>40680000</v>
      </c>
    </row>
    <row r="9" spans="1:24" ht="15.75" customHeight="1" thickBot="1">
      <c r="A9" s="154"/>
      <c r="B9" s="459"/>
      <c r="C9" s="199"/>
      <c r="D9" s="1054"/>
      <c r="E9" s="109"/>
      <c r="F9" s="109"/>
      <c r="G9" s="225"/>
      <c r="H9" s="91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487"/>
    </row>
    <row r="10" spans="1:24" ht="20.25" customHeight="1">
      <c r="A10" s="1089" t="s">
        <v>18</v>
      </c>
      <c r="B10" s="285"/>
      <c r="C10" s="146"/>
      <c r="D10" s="146"/>
      <c r="E10" s="194">
        <f>SUM(E11)</f>
        <v>926158</v>
      </c>
      <c r="F10" s="889">
        <f>SUM(F11)</f>
        <v>935679</v>
      </c>
      <c r="G10" s="354">
        <f>F10-E10</f>
        <v>9521</v>
      </c>
      <c r="H10" s="51"/>
      <c r="I10" s="52"/>
      <c r="J10" s="452"/>
      <c r="K10" s="65"/>
      <c r="L10" s="65"/>
      <c r="M10" s="452"/>
      <c r="N10" s="452"/>
      <c r="O10" s="452"/>
      <c r="P10" s="578"/>
      <c r="Q10" s="578"/>
      <c r="R10" s="452"/>
      <c r="S10" s="452"/>
      <c r="T10" s="452"/>
      <c r="U10" s="452"/>
      <c r="V10" s="452"/>
      <c r="W10" s="573"/>
      <c r="X10" s="102"/>
    </row>
    <row r="11" spans="1:24" ht="21" customHeight="1">
      <c r="A11" s="1090"/>
      <c r="B11" s="1091" t="s">
        <v>12</v>
      </c>
      <c r="C11" s="141"/>
      <c r="D11" s="141"/>
      <c r="E11" s="107">
        <f>SUM(E12+E49)</f>
        <v>926158</v>
      </c>
      <c r="F11" s="107">
        <f>SUM(F12+F49)</f>
        <v>935679</v>
      </c>
      <c r="G11" s="310">
        <f>F11-E11</f>
        <v>9521</v>
      </c>
      <c r="H11" s="58"/>
      <c r="I11" s="59"/>
      <c r="J11" s="555"/>
      <c r="K11" s="60"/>
      <c r="L11" s="60"/>
      <c r="M11" s="555"/>
      <c r="N11" s="555"/>
      <c r="O11" s="555"/>
      <c r="P11" s="61"/>
      <c r="Q11" s="61"/>
      <c r="R11" s="555"/>
      <c r="S11" s="555"/>
      <c r="T11" s="555"/>
      <c r="U11" s="555"/>
      <c r="V11" s="555"/>
      <c r="W11" s="62"/>
      <c r="X11" s="101"/>
    </row>
    <row r="12" spans="1:24" ht="21" customHeight="1">
      <c r="A12" s="147"/>
      <c r="B12" s="1092"/>
      <c r="C12" s="1051" t="s">
        <v>281</v>
      </c>
      <c r="D12" s="141"/>
      <c r="E12" s="476">
        <f>E13+E24+E26+E28+E30+E32+E34+E36+E38+E40+E42+E44+E47</f>
        <v>926158</v>
      </c>
      <c r="F12" s="107">
        <f>SUM(F13,F24,F30,F26,F28,F32,F36,F38,F34,F40,F42,F44,F47)</f>
        <v>935679</v>
      </c>
      <c r="G12" s="310">
        <f>F12-E12</f>
        <v>9521</v>
      </c>
      <c r="H12" s="1083"/>
      <c r="I12" s="1084"/>
      <c r="J12" s="555"/>
      <c r="K12" s="60"/>
      <c r="L12" s="60"/>
      <c r="M12" s="555"/>
      <c r="N12" s="555"/>
      <c r="O12" s="555"/>
      <c r="P12" s="61"/>
      <c r="Q12" s="61"/>
      <c r="R12" s="555"/>
      <c r="S12" s="555"/>
      <c r="T12" s="555"/>
      <c r="U12" s="555"/>
      <c r="V12" s="555"/>
      <c r="W12" s="62"/>
      <c r="X12" s="101"/>
    </row>
    <row r="13" spans="1:24" ht="15.75" customHeight="1">
      <c r="A13" s="580"/>
      <c r="B13" s="148"/>
      <c r="C13" s="1052"/>
      <c r="D13" s="1051" t="s">
        <v>261</v>
      </c>
      <c r="E13" s="890">
        <v>760980</v>
      </c>
      <c r="F13" s="69">
        <v>785225</v>
      </c>
      <c r="G13" s="308">
        <f>F13-E13</f>
        <v>24245</v>
      </c>
      <c r="H13" s="565" t="s">
        <v>137</v>
      </c>
      <c r="I13" s="1074" t="s">
        <v>595</v>
      </c>
      <c r="J13" s="1074"/>
      <c r="K13" s="1074"/>
      <c r="L13" s="1074"/>
      <c r="M13" s="1074"/>
      <c r="N13" s="1074"/>
      <c r="O13" s="1074"/>
      <c r="P13" s="1074"/>
      <c r="Q13" s="1074"/>
      <c r="R13" s="1074"/>
      <c r="S13" s="1074"/>
      <c r="T13" s="351"/>
      <c r="U13" s="554"/>
      <c r="V13" s="1080">
        <v>485168610</v>
      </c>
      <c r="W13" s="1080"/>
      <c r="X13" s="1081"/>
    </row>
    <row r="14" spans="1:24" ht="18" customHeight="1">
      <c r="A14" s="54"/>
      <c r="B14" s="378"/>
      <c r="C14" s="525"/>
      <c r="D14" s="1052"/>
      <c r="E14" s="69"/>
      <c r="F14" s="69"/>
      <c r="G14" s="296"/>
      <c r="H14" s="565" t="s">
        <v>138</v>
      </c>
      <c r="I14" s="1074" t="s">
        <v>596</v>
      </c>
      <c r="J14" s="1074"/>
      <c r="K14" s="1074"/>
      <c r="L14" s="1074"/>
      <c r="M14" s="1074"/>
      <c r="N14" s="1074"/>
      <c r="O14" s="1074"/>
      <c r="P14" s="1074"/>
      <c r="Q14" s="1074"/>
      <c r="R14" s="1074"/>
      <c r="S14" s="1074"/>
      <c r="T14" s="351"/>
      <c r="U14" s="554"/>
      <c r="V14" s="865"/>
      <c r="W14" s="865"/>
      <c r="X14" s="866">
        <v>46868400</v>
      </c>
    </row>
    <row r="15" spans="1:24" ht="18" customHeight="1">
      <c r="A15" s="54"/>
      <c r="B15" s="378"/>
      <c r="C15" s="525"/>
      <c r="D15" s="525"/>
      <c r="E15" s="69"/>
      <c r="F15" s="69"/>
      <c r="G15" s="296"/>
      <c r="H15" s="565" t="s">
        <v>139</v>
      </c>
      <c r="I15" s="1074" t="s">
        <v>794</v>
      </c>
      <c r="J15" s="1074"/>
      <c r="K15" s="1074"/>
      <c r="L15" s="1074"/>
      <c r="M15" s="1074"/>
      <c r="N15" s="1074"/>
      <c r="O15" s="1074"/>
      <c r="P15" s="1074"/>
      <c r="Q15" s="1074"/>
      <c r="R15" s="1074"/>
      <c r="S15" s="1074"/>
      <c r="T15" s="351"/>
      <c r="U15" s="554"/>
      <c r="V15" s="1075">
        <v>126559830</v>
      </c>
      <c r="W15" s="1075"/>
      <c r="X15" s="1076"/>
    </row>
    <row r="16" spans="1:24" ht="18" customHeight="1">
      <c r="A16" s="54"/>
      <c r="B16" s="378"/>
      <c r="C16" s="525"/>
      <c r="D16" s="525"/>
      <c r="E16" s="69"/>
      <c r="F16" s="69"/>
      <c r="G16" s="296"/>
      <c r="H16" s="552"/>
      <c r="I16" s="1079" t="s">
        <v>795</v>
      </c>
      <c r="J16" s="1079"/>
      <c r="K16" s="1079"/>
      <c r="L16" s="1079"/>
      <c r="M16" s="1079"/>
      <c r="N16" s="1079"/>
      <c r="O16" s="1079"/>
      <c r="P16" s="1079"/>
      <c r="Q16" s="1079"/>
      <c r="R16" s="1079"/>
      <c r="S16" s="1079"/>
      <c r="T16" s="567"/>
      <c r="U16" s="567"/>
      <c r="V16" s="133"/>
      <c r="W16" s="133"/>
      <c r="X16" s="513"/>
    </row>
    <row r="17" spans="1:24" ht="18" customHeight="1">
      <c r="A17" s="54"/>
      <c r="B17" s="378"/>
      <c r="C17" s="525"/>
      <c r="D17" s="525"/>
      <c r="E17" s="69"/>
      <c r="F17" s="69"/>
      <c r="G17" s="296"/>
      <c r="H17" s="565" t="s">
        <v>140</v>
      </c>
      <c r="I17" s="1074" t="s">
        <v>154</v>
      </c>
      <c r="J17" s="1074"/>
      <c r="K17" s="1074"/>
      <c r="L17" s="1074"/>
      <c r="M17" s="1074"/>
      <c r="N17" s="1074"/>
      <c r="O17" s="1074"/>
      <c r="P17" s="1074"/>
      <c r="Q17" s="1074"/>
      <c r="R17" s="1074"/>
      <c r="S17" s="1074"/>
      <c r="T17" s="351"/>
      <c r="U17" s="554"/>
      <c r="V17" s="133"/>
      <c r="W17" s="133"/>
      <c r="X17" s="866">
        <v>6280000</v>
      </c>
    </row>
    <row r="18" spans="1:24" ht="18" customHeight="1">
      <c r="A18" s="54"/>
      <c r="B18" s="378"/>
      <c r="C18" s="525"/>
      <c r="D18" s="525"/>
      <c r="E18" s="69"/>
      <c r="F18" s="69"/>
      <c r="G18" s="296"/>
      <c r="H18" s="565" t="s">
        <v>141</v>
      </c>
      <c r="I18" s="1074" t="s">
        <v>572</v>
      </c>
      <c r="J18" s="1074"/>
      <c r="K18" s="1074"/>
      <c r="L18" s="1074"/>
      <c r="M18" s="1074"/>
      <c r="N18" s="1074"/>
      <c r="O18" s="1074"/>
      <c r="P18" s="1074"/>
      <c r="Q18" s="1074"/>
      <c r="R18" s="1074"/>
      <c r="S18" s="1074"/>
      <c r="T18" s="351"/>
      <c r="U18" s="554"/>
      <c r="V18" s="133"/>
      <c r="W18" s="133"/>
      <c r="X18" s="866">
        <v>56766410</v>
      </c>
    </row>
    <row r="19" spans="1:24" ht="18" customHeight="1">
      <c r="A19" s="54"/>
      <c r="B19" s="378"/>
      <c r="C19" s="525"/>
      <c r="D19" s="525"/>
      <c r="E19" s="69"/>
      <c r="F19" s="69"/>
      <c r="G19" s="296"/>
      <c r="H19" s="807" t="s">
        <v>153</v>
      </c>
      <c r="I19" s="1074" t="s">
        <v>591</v>
      </c>
      <c r="J19" s="1074"/>
      <c r="K19" s="1074"/>
      <c r="L19" s="1074"/>
      <c r="M19" s="1074"/>
      <c r="N19" s="1074"/>
      <c r="O19" s="1074"/>
      <c r="P19" s="1074"/>
      <c r="Q19" s="1074"/>
      <c r="R19" s="1074"/>
      <c r="S19" s="1074"/>
      <c r="T19" s="351"/>
      <c r="U19" s="554"/>
      <c r="V19" s="133"/>
      <c r="W19" s="133"/>
      <c r="X19" s="866">
        <v>20674320</v>
      </c>
    </row>
    <row r="20" spans="1:24" ht="18" customHeight="1">
      <c r="A20" s="54"/>
      <c r="B20" s="378"/>
      <c r="C20" s="525"/>
      <c r="D20" s="525"/>
      <c r="E20" s="69"/>
      <c r="F20" s="69"/>
      <c r="G20" s="296"/>
      <c r="H20" s="807" t="s">
        <v>152</v>
      </c>
      <c r="I20" s="1074" t="s">
        <v>573</v>
      </c>
      <c r="J20" s="1074"/>
      <c r="K20" s="1074"/>
      <c r="L20" s="1074"/>
      <c r="M20" s="1074"/>
      <c r="N20" s="1074"/>
      <c r="O20" s="1074"/>
      <c r="P20" s="1074"/>
      <c r="Q20" s="1074"/>
      <c r="R20" s="1074"/>
      <c r="S20" s="1074"/>
      <c r="T20" s="351"/>
      <c r="U20" s="554"/>
      <c r="V20" s="133"/>
      <c r="W20" s="133"/>
      <c r="X20" s="866">
        <v>1354170</v>
      </c>
    </row>
    <row r="21" spans="1:24" ht="18" customHeight="1">
      <c r="A21" s="54"/>
      <c r="B21" s="378"/>
      <c r="C21" s="525"/>
      <c r="D21" s="525"/>
      <c r="E21" s="69"/>
      <c r="F21" s="69"/>
      <c r="G21" s="296"/>
      <c r="H21" s="565" t="s">
        <v>142</v>
      </c>
      <c r="I21" s="1073" t="s">
        <v>592</v>
      </c>
      <c r="J21" s="1073"/>
      <c r="K21" s="1073"/>
      <c r="L21" s="1073"/>
      <c r="M21" s="1073"/>
      <c r="N21" s="1073"/>
      <c r="O21" s="1073"/>
      <c r="P21" s="1073"/>
      <c r="Q21" s="1073"/>
      <c r="R21" s="1073"/>
      <c r="S21" s="1073"/>
      <c r="T21" s="351"/>
      <c r="U21" s="554"/>
      <c r="V21" s="133"/>
      <c r="W21" s="133"/>
      <c r="X21" s="866">
        <v>30653870</v>
      </c>
    </row>
    <row r="22" spans="1:24" ht="18" customHeight="1">
      <c r="A22" s="54"/>
      <c r="B22" s="378"/>
      <c r="C22" s="525"/>
      <c r="D22" s="525"/>
      <c r="E22" s="69"/>
      <c r="F22" s="69"/>
      <c r="G22" s="296"/>
      <c r="H22" s="807" t="s">
        <v>320</v>
      </c>
      <c r="I22" s="1073" t="s">
        <v>593</v>
      </c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351"/>
      <c r="U22" s="554"/>
      <c r="V22" s="133"/>
      <c r="W22" s="133"/>
      <c r="X22" s="866">
        <v>6130780</v>
      </c>
    </row>
    <row r="23" spans="1:24" ht="18" customHeight="1">
      <c r="A23" s="54"/>
      <c r="B23" s="378"/>
      <c r="C23" s="525"/>
      <c r="D23" s="525"/>
      <c r="E23" s="69"/>
      <c r="F23" s="69"/>
      <c r="G23" s="296"/>
      <c r="H23" s="807" t="s">
        <v>457</v>
      </c>
      <c r="I23" s="1073" t="s">
        <v>594</v>
      </c>
      <c r="J23" s="1073"/>
      <c r="K23" s="1073"/>
      <c r="L23" s="1073"/>
      <c r="M23" s="1073"/>
      <c r="N23" s="1073"/>
      <c r="O23" s="1073"/>
      <c r="P23" s="1073"/>
      <c r="Q23" s="1073"/>
      <c r="R23" s="1073"/>
      <c r="S23" s="1073"/>
      <c r="T23" s="351"/>
      <c r="U23" s="554"/>
      <c r="V23" s="133"/>
      <c r="W23" s="133"/>
      <c r="X23" s="866">
        <v>4768380</v>
      </c>
    </row>
    <row r="24" spans="1:24" ht="21" customHeight="1">
      <c r="A24" s="92"/>
      <c r="B24" s="525"/>
      <c r="C24" s="560"/>
      <c r="D24" s="1051" t="s">
        <v>262</v>
      </c>
      <c r="E24" s="68">
        <v>65850</v>
      </c>
      <c r="F24" s="68">
        <v>65850</v>
      </c>
      <c r="G24" s="512">
        <f>F24-E24</f>
        <v>0</v>
      </c>
      <c r="H24" s="576" t="s">
        <v>256</v>
      </c>
      <c r="I24" s="1077" t="s">
        <v>597</v>
      </c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  <c r="T24" s="561"/>
      <c r="U24" s="548" t="s">
        <v>4</v>
      </c>
      <c r="V24" s="548"/>
      <c r="W24" s="571"/>
      <c r="X24" s="473">
        <v>65850000</v>
      </c>
    </row>
    <row r="25" spans="1:24" ht="21" customHeight="1">
      <c r="A25" s="293"/>
      <c r="B25" s="292"/>
      <c r="C25" s="133"/>
      <c r="D25" s="1053"/>
      <c r="E25" s="73"/>
      <c r="F25" s="73"/>
      <c r="G25" s="474"/>
      <c r="H25" s="445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579"/>
      <c r="U25" s="460"/>
      <c r="V25" s="460"/>
      <c r="W25" s="460"/>
      <c r="X25" s="488"/>
    </row>
    <row r="26" spans="1:24" ht="21" customHeight="1">
      <c r="A26" s="293"/>
      <c r="B26" s="292"/>
      <c r="C26" s="133"/>
      <c r="D26" s="524" t="s">
        <v>263</v>
      </c>
      <c r="E26" s="68">
        <v>57960</v>
      </c>
      <c r="F26" s="68">
        <v>59609</v>
      </c>
      <c r="G26" s="309">
        <f>F26-E26</f>
        <v>1649</v>
      </c>
      <c r="H26" s="456" t="s">
        <v>255</v>
      </c>
      <c r="I26" s="1078" t="s">
        <v>611</v>
      </c>
      <c r="J26" s="1078"/>
      <c r="K26" s="1078"/>
      <c r="L26" s="1078"/>
      <c r="M26" s="1078"/>
      <c r="N26" s="1078"/>
      <c r="O26" s="1078"/>
      <c r="P26" s="1078"/>
      <c r="Q26" s="1078"/>
      <c r="R26" s="1078"/>
      <c r="S26" s="499"/>
      <c r="T26" s="577"/>
      <c r="U26" s="562" t="s">
        <v>4</v>
      </c>
      <c r="V26" s="562"/>
      <c r="W26" s="567"/>
      <c r="X26" s="866">
        <v>59609040</v>
      </c>
    </row>
    <row r="27" spans="1:24" ht="21" customHeight="1">
      <c r="A27" s="293"/>
      <c r="B27" s="292"/>
      <c r="C27" s="133"/>
      <c r="D27" s="525"/>
      <c r="E27" s="69"/>
      <c r="F27" s="73"/>
      <c r="G27" s="296"/>
      <c r="H27" s="465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88"/>
    </row>
    <row r="28" spans="1:24" ht="21.75" customHeight="1">
      <c r="A28" s="293"/>
      <c r="B28" s="292"/>
      <c r="C28" s="133"/>
      <c r="D28" s="1051" t="s">
        <v>264</v>
      </c>
      <c r="E28" s="68">
        <v>1393</v>
      </c>
      <c r="F28" s="68">
        <v>1330</v>
      </c>
      <c r="G28" s="309">
        <f>F28-E28</f>
        <v>-63</v>
      </c>
      <c r="H28" s="471" t="s">
        <v>797</v>
      </c>
      <c r="I28" s="1068" t="s">
        <v>433</v>
      </c>
      <c r="J28" s="1068"/>
      <c r="K28" s="1068"/>
      <c r="L28" s="1068"/>
      <c r="M28" s="1068"/>
      <c r="N28" s="1068"/>
      <c r="O28" s="1068"/>
      <c r="P28" s="1068"/>
      <c r="Q28" s="1068"/>
      <c r="R28" s="1068"/>
      <c r="S28" s="379"/>
      <c r="T28" s="379"/>
      <c r="U28" s="380" t="s">
        <v>4</v>
      </c>
      <c r="V28" s="380"/>
      <c r="W28" s="106"/>
      <c r="X28" s="866">
        <v>665000</v>
      </c>
    </row>
    <row r="29" spans="1:24" ht="21.75" customHeight="1">
      <c r="A29" s="293"/>
      <c r="B29" s="292"/>
      <c r="C29" s="133"/>
      <c r="D29" s="1053"/>
      <c r="E29" s="73"/>
      <c r="F29" s="73"/>
      <c r="G29" s="297"/>
      <c r="H29" s="445" t="s">
        <v>132</v>
      </c>
      <c r="I29" s="1102" t="s">
        <v>433</v>
      </c>
      <c r="J29" s="1102"/>
      <c r="K29" s="1102"/>
      <c r="L29" s="1102"/>
      <c r="M29" s="1102"/>
      <c r="N29" s="1102"/>
      <c r="O29" s="1102"/>
      <c r="P29" s="1102"/>
      <c r="Q29" s="1102"/>
      <c r="R29" s="1102"/>
      <c r="S29" s="579"/>
      <c r="T29" s="579"/>
      <c r="U29" s="452" t="s">
        <v>4</v>
      </c>
      <c r="V29" s="452"/>
      <c r="W29" s="573"/>
      <c r="X29" s="867">
        <v>665000</v>
      </c>
    </row>
    <row r="30" spans="1:24" ht="21.75" customHeight="1">
      <c r="A30" s="293"/>
      <c r="B30" s="292"/>
      <c r="C30" s="133"/>
      <c r="D30" s="525" t="s">
        <v>265</v>
      </c>
      <c r="E30" s="69">
        <v>750</v>
      </c>
      <c r="F30" s="69">
        <v>750</v>
      </c>
      <c r="G30" s="308">
        <f>F30-E30</f>
        <v>0</v>
      </c>
      <c r="H30" s="509" t="s">
        <v>255</v>
      </c>
      <c r="I30" s="554">
        <v>750000</v>
      </c>
      <c r="J30" s="499" t="s">
        <v>3</v>
      </c>
      <c r="K30" s="1103">
        <v>1</v>
      </c>
      <c r="L30" s="1103"/>
      <c r="M30" s="499" t="s">
        <v>14</v>
      </c>
      <c r="N30" s="566"/>
      <c r="O30" s="566" t="s">
        <v>15</v>
      </c>
      <c r="P30" s="515"/>
      <c r="Q30" s="515"/>
      <c r="R30" s="566"/>
      <c r="S30" s="566"/>
      <c r="T30" s="562"/>
      <c r="U30" s="562"/>
      <c r="V30" s="562"/>
      <c r="W30" s="567"/>
      <c r="X30" s="103">
        <f>I30*K30</f>
        <v>750000</v>
      </c>
    </row>
    <row r="31" spans="1:24" ht="21.75" customHeight="1" thickBot="1">
      <c r="A31" s="628"/>
      <c r="B31" s="586"/>
      <c r="C31" s="108"/>
      <c r="D31" s="108"/>
      <c r="E31" s="109"/>
      <c r="F31" s="109"/>
      <c r="G31" s="629"/>
      <c r="H31" s="91"/>
      <c r="I31" s="630"/>
      <c r="J31" s="630"/>
      <c r="K31" s="630"/>
      <c r="L31" s="630"/>
      <c r="M31" s="630"/>
      <c r="N31" s="630"/>
      <c r="O31" s="630"/>
      <c r="P31" s="630"/>
      <c r="Q31" s="630"/>
      <c r="R31" s="630"/>
      <c r="S31" s="630"/>
      <c r="T31" s="294"/>
      <c r="U31" s="294"/>
      <c r="V31" s="294"/>
      <c r="W31" s="294"/>
      <c r="X31" s="487"/>
    </row>
    <row r="32" spans="1:24" ht="21.75" customHeight="1">
      <c r="A32" s="1108" t="str">
        <f>A10</f>
        <v>04.경상보조금수입</v>
      </c>
      <c r="B32" s="1055" t="str">
        <f>B11</f>
        <v>41.경상보조금수입</v>
      </c>
      <c r="C32" s="1055" t="str">
        <f>C12</f>
        <v>413.시군구보조금</v>
      </c>
      <c r="D32" s="1055" t="s">
        <v>266</v>
      </c>
      <c r="E32" s="205">
        <v>685</v>
      </c>
      <c r="F32" s="205">
        <v>695</v>
      </c>
      <c r="G32" s="631">
        <f>F32-E32</f>
        <v>10</v>
      </c>
      <c r="H32" s="632" t="s">
        <v>133</v>
      </c>
      <c r="I32" s="1107" t="s">
        <v>610</v>
      </c>
      <c r="J32" s="1107"/>
      <c r="K32" s="1107"/>
      <c r="L32" s="1107"/>
      <c r="M32" s="1107"/>
      <c r="N32" s="1107"/>
      <c r="O32" s="1107"/>
      <c r="P32" s="1107"/>
      <c r="Q32" s="1107"/>
      <c r="R32" s="1107"/>
      <c r="S32" s="633"/>
      <c r="T32" s="633"/>
      <c r="U32" s="125" t="s">
        <v>4</v>
      </c>
      <c r="V32" s="125"/>
      <c r="W32" s="575"/>
      <c r="X32" s="868">
        <v>695440</v>
      </c>
    </row>
    <row r="33" spans="1:24" ht="21.75" customHeight="1">
      <c r="A33" s="1109"/>
      <c r="B33" s="1052"/>
      <c r="C33" s="1052"/>
      <c r="D33" s="1053"/>
      <c r="E33" s="73"/>
      <c r="F33" s="73"/>
      <c r="G33" s="297"/>
      <c r="H33" s="51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88"/>
    </row>
    <row r="34" spans="1:24" ht="21.75" customHeight="1">
      <c r="A34" s="580"/>
      <c r="B34" s="148"/>
      <c r="C34" s="574"/>
      <c r="D34" s="1052" t="s">
        <v>267</v>
      </c>
      <c r="E34" s="69">
        <v>1500</v>
      </c>
      <c r="F34" s="69">
        <f>X34/1000</f>
        <v>1950</v>
      </c>
      <c r="G34" s="308">
        <f>F34-E34</f>
        <v>450</v>
      </c>
      <c r="H34" s="511" t="s">
        <v>135</v>
      </c>
      <c r="I34" s="195">
        <v>65000</v>
      </c>
      <c r="J34" s="379" t="s">
        <v>606</v>
      </c>
      <c r="K34" s="1058">
        <v>30</v>
      </c>
      <c r="L34" s="1058"/>
      <c r="M34" s="379" t="s">
        <v>607</v>
      </c>
      <c r="N34" s="379" t="s">
        <v>606</v>
      </c>
      <c r="O34" s="379"/>
      <c r="P34" s="873">
        <v>1</v>
      </c>
      <c r="Q34" s="873"/>
      <c r="R34" s="379" t="s">
        <v>608</v>
      </c>
      <c r="S34" s="379"/>
      <c r="T34" s="379"/>
      <c r="U34" s="380" t="s">
        <v>609</v>
      </c>
      <c r="V34" s="380"/>
      <c r="W34" s="106"/>
      <c r="X34" s="103">
        <f>I34*K34*P34</f>
        <v>1950000</v>
      </c>
    </row>
    <row r="35" spans="1:24" ht="21.75" customHeight="1">
      <c r="A35" s="54"/>
      <c r="B35" s="378"/>
      <c r="C35" s="525"/>
      <c r="D35" s="1053"/>
      <c r="E35" s="73"/>
      <c r="F35" s="73"/>
      <c r="G35" s="297"/>
      <c r="H35" s="51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88"/>
    </row>
    <row r="36" spans="1:24" ht="21.75" customHeight="1">
      <c r="A36" s="54"/>
      <c r="B36" s="378"/>
      <c r="C36" s="525"/>
      <c r="D36" s="1052" t="s">
        <v>268</v>
      </c>
      <c r="E36" s="69">
        <v>450</v>
      </c>
      <c r="F36" s="69">
        <f>X36/1000</f>
        <v>450</v>
      </c>
      <c r="G36" s="308">
        <f>F36-E36</f>
        <v>0</v>
      </c>
      <c r="H36" s="511" t="s">
        <v>253</v>
      </c>
      <c r="I36" s="554">
        <v>15000</v>
      </c>
      <c r="J36" s="577" t="s">
        <v>3</v>
      </c>
      <c r="K36" s="1057">
        <v>30</v>
      </c>
      <c r="L36" s="1057"/>
      <c r="M36" s="577" t="s">
        <v>5</v>
      </c>
      <c r="N36" s="577" t="s">
        <v>3</v>
      </c>
      <c r="O36" s="577"/>
      <c r="P36" s="453">
        <v>1</v>
      </c>
      <c r="Q36" s="453"/>
      <c r="R36" s="577" t="s">
        <v>16</v>
      </c>
      <c r="S36" s="577"/>
      <c r="T36" s="577"/>
      <c r="U36" s="562" t="s">
        <v>4</v>
      </c>
      <c r="V36" s="562"/>
      <c r="W36" s="567"/>
      <c r="X36" s="103">
        <f>I36*K36*P36</f>
        <v>450000</v>
      </c>
    </row>
    <row r="37" spans="1:24" ht="21.75" customHeight="1">
      <c r="A37" s="54"/>
      <c r="B37" s="378"/>
      <c r="C37" s="525"/>
      <c r="D37" s="1053"/>
      <c r="E37" s="73"/>
      <c r="F37" s="73"/>
      <c r="G37" s="297"/>
      <c r="H37" s="51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88"/>
    </row>
    <row r="38" spans="1:24" ht="21.75" customHeight="1">
      <c r="A38" s="54"/>
      <c r="B38" s="378"/>
      <c r="C38" s="525"/>
      <c r="D38" s="568" t="s">
        <v>269</v>
      </c>
      <c r="E38" s="68">
        <v>1500</v>
      </c>
      <c r="F38" s="68">
        <f>X38/1000</f>
        <v>600</v>
      </c>
      <c r="G38" s="309">
        <f>F38-E38</f>
        <v>-900</v>
      </c>
      <c r="H38" s="433" t="s">
        <v>134</v>
      </c>
      <c r="I38" s="869">
        <v>20000</v>
      </c>
      <c r="J38" s="870" t="s">
        <v>603</v>
      </c>
      <c r="K38" s="1063">
        <v>30</v>
      </c>
      <c r="L38" s="1063"/>
      <c r="M38" s="870" t="s">
        <v>604</v>
      </c>
      <c r="N38" s="870" t="s">
        <v>603</v>
      </c>
      <c r="O38" s="870"/>
      <c r="P38" s="871">
        <v>1</v>
      </c>
      <c r="Q38" s="871"/>
      <c r="R38" s="870" t="s">
        <v>605</v>
      </c>
      <c r="S38" s="870"/>
      <c r="T38" s="870"/>
      <c r="U38" s="872" t="s">
        <v>4</v>
      </c>
      <c r="V38" s="872"/>
      <c r="W38" s="539"/>
      <c r="X38" s="486">
        <f>I38*K38*P38</f>
        <v>600000</v>
      </c>
    </row>
    <row r="39" spans="1:24" ht="21.75" customHeight="1">
      <c r="A39" s="54"/>
      <c r="B39" s="378"/>
      <c r="C39" s="525"/>
      <c r="D39" s="547"/>
      <c r="E39" s="73"/>
      <c r="F39" s="73"/>
      <c r="G39" s="297"/>
      <c r="H39" s="51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88"/>
    </row>
    <row r="40" spans="1:24" ht="21.75" customHeight="1">
      <c r="A40" s="54"/>
      <c r="B40" s="378"/>
      <c r="C40" s="525"/>
      <c r="D40" s="1051" t="s">
        <v>270</v>
      </c>
      <c r="E40" s="69">
        <v>450</v>
      </c>
      <c r="F40" s="68">
        <f>X40/1000</f>
        <v>900</v>
      </c>
      <c r="G40" s="309">
        <f>F40-E40</f>
        <v>450</v>
      </c>
      <c r="H40" s="461" t="s">
        <v>625</v>
      </c>
      <c r="I40" s="195">
        <v>30000</v>
      </c>
      <c r="J40" s="379" t="s">
        <v>603</v>
      </c>
      <c r="K40" s="1058">
        <v>30</v>
      </c>
      <c r="L40" s="1058"/>
      <c r="M40" s="379" t="s">
        <v>604</v>
      </c>
      <c r="N40" s="379" t="s">
        <v>603</v>
      </c>
      <c r="O40" s="379"/>
      <c r="P40" s="873">
        <v>1</v>
      </c>
      <c r="Q40" s="873"/>
      <c r="R40" s="379" t="s">
        <v>605</v>
      </c>
      <c r="S40" s="379"/>
      <c r="T40" s="379"/>
      <c r="U40" s="380" t="s">
        <v>615</v>
      </c>
      <c r="V40" s="380"/>
      <c r="W40" s="106"/>
      <c r="X40" s="103">
        <f>I40*K40*P40</f>
        <v>900000</v>
      </c>
    </row>
    <row r="41" spans="1:24" ht="21.75" customHeight="1">
      <c r="A41" s="54"/>
      <c r="B41" s="378"/>
      <c r="C41" s="525"/>
      <c r="D41" s="1104"/>
      <c r="E41" s="73"/>
      <c r="F41" s="73"/>
      <c r="G41" s="297"/>
      <c r="H41" s="567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489"/>
    </row>
    <row r="42" spans="1:24" ht="21.75" customHeight="1">
      <c r="A42" s="54"/>
      <c r="B42" s="378"/>
      <c r="C42" s="525"/>
      <c r="D42" s="1051" t="s">
        <v>429</v>
      </c>
      <c r="E42" s="68">
        <v>1500</v>
      </c>
      <c r="F42" s="68">
        <f>X42/1000</f>
        <v>1500</v>
      </c>
      <c r="G42" s="309">
        <f>F42-E42</f>
        <v>0</v>
      </c>
      <c r="H42" s="433" t="s">
        <v>136</v>
      </c>
      <c r="I42" s="553">
        <v>1500000</v>
      </c>
      <c r="J42" s="561"/>
      <c r="K42" s="1060"/>
      <c r="L42" s="1060"/>
      <c r="M42" s="561"/>
      <c r="N42" s="561" t="s">
        <v>3</v>
      </c>
      <c r="O42" s="561"/>
      <c r="P42" s="564">
        <v>1</v>
      </c>
      <c r="Q42" s="564"/>
      <c r="R42" s="561" t="s">
        <v>16</v>
      </c>
      <c r="S42" s="561"/>
      <c r="T42" s="561"/>
      <c r="U42" s="548" t="s">
        <v>4</v>
      </c>
      <c r="V42" s="548"/>
      <c r="W42" s="571"/>
      <c r="X42" s="74">
        <f>I42*P42</f>
        <v>1500000</v>
      </c>
    </row>
    <row r="43" spans="1:24" ht="21.75" customHeight="1">
      <c r="A43" s="54"/>
      <c r="B43" s="378"/>
      <c r="C43" s="525"/>
      <c r="D43" s="1053"/>
      <c r="E43" s="73"/>
      <c r="F43" s="73"/>
      <c r="G43" s="297"/>
      <c r="H43" s="51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88"/>
    </row>
    <row r="44" spans="1:24" ht="21.75" customHeight="1">
      <c r="A44" s="54"/>
      <c r="B44" s="378"/>
      <c r="C44" s="525"/>
      <c r="D44" s="1052" t="s">
        <v>271</v>
      </c>
      <c r="E44" s="69">
        <v>32640</v>
      </c>
      <c r="F44" s="69">
        <f>P44/1000</f>
        <v>16320</v>
      </c>
      <c r="G44" s="308">
        <f>F44-E44</f>
        <v>-16320</v>
      </c>
      <c r="H44" s="1067" t="s">
        <v>612</v>
      </c>
      <c r="I44" s="1068"/>
      <c r="J44" s="1068"/>
      <c r="K44" s="1068"/>
      <c r="L44" s="1068"/>
      <c r="M44" s="1068"/>
      <c r="N44" s="380"/>
      <c r="O44" s="380"/>
      <c r="P44" s="1105">
        <f>X45+X46</f>
        <v>16320000</v>
      </c>
      <c r="Q44" s="1105"/>
      <c r="R44" s="1105"/>
      <c r="S44" s="1105"/>
      <c r="T44" s="1105"/>
      <c r="U44" s="1105"/>
      <c r="V44" s="1105"/>
      <c r="W44" s="1105"/>
      <c r="X44" s="1106"/>
    </row>
    <row r="45" spans="1:24" ht="21.75" customHeight="1">
      <c r="A45" s="54"/>
      <c r="B45" s="378"/>
      <c r="C45" s="525"/>
      <c r="D45" s="1052"/>
      <c r="E45" s="69"/>
      <c r="F45" s="69"/>
      <c r="G45" s="308"/>
      <c r="H45" s="874" t="s">
        <v>613</v>
      </c>
      <c r="I45" s="195">
        <v>100000</v>
      </c>
      <c r="J45" s="379" t="s">
        <v>603</v>
      </c>
      <c r="K45" s="1058">
        <v>20</v>
      </c>
      <c r="L45" s="1058"/>
      <c r="M45" s="379" t="s">
        <v>604</v>
      </c>
      <c r="N45" s="379" t="s">
        <v>603</v>
      </c>
      <c r="O45" s="379"/>
      <c r="P45" s="873">
        <v>6</v>
      </c>
      <c r="Q45" s="873"/>
      <c r="R45" s="379" t="s">
        <v>614</v>
      </c>
      <c r="S45" s="379"/>
      <c r="T45" s="379"/>
      <c r="U45" s="380" t="s">
        <v>615</v>
      </c>
      <c r="V45" s="380"/>
      <c r="W45" s="106"/>
      <c r="X45" s="103">
        <f>I45*K45*P45</f>
        <v>12000000</v>
      </c>
    </row>
    <row r="46" spans="1:24" ht="21.75" customHeight="1">
      <c r="A46" s="54"/>
      <c r="B46" s="378"/>
      <c r="C46" s="525"/>
      <c r="D46" s="547"/>
      <c r="E46" s="73"/>
      <c r="F46" s="73"/>
      <c r="G46" s="527"/>
      <c r="H46" s="875" t="s">
        <v>616</v>
      </c>
      <c r="I46" s="876">
        <v>40000</v>
      </c>
      <c r="J46" s="877" t="s">
        <v>603</v>
      </c>
      <c r="K46" s="1111">
        <v>18</v>
      </c>
      <c r="L46" s="1111"/>
      <c r="M46" s="877" t="s">
        <v>604</v>
      </c>
      <c r="N46" s="877" t="s">
        <v>603</v>
      </c>
      <c r="O46" s="877"/>
      <c r="P46" s="878">
        <v>6</v>
      </c>
      <c r="Q46" s="878"/>
      <c r="R46" s="877" t="s">
        <v>614</v>
      </c>
      <c r="S46" s="877"/>
      <c r="T46" s="877"/>
      <c r="U46" s="879" t="s">
        <v>615</v>
      </c>
      <c r="V46" s="879"/>
      <c r="W46" s="482"/>
      <c r="X46" s="102">
        <f>I46*P46*K46</f>
        <v>4320000</v>
      </c>
    </row>
    <row r="47" spans="1:24" ht="21.75" customHeight="1">
      <c r="A47" s="54"/>
      <c r="B47" s="378"/>
      <c r="C47" s="525"/>
      <c r="D47" s="1052" t="s">
        <v>432</v>
      </c>
      <c r="E47" s="69">
        <v>500</v>
      </c>
      <c r="F47" s="69">
        <v>500</v>
      </c>
      <c r="G47" s="308">
        <f>F47-E47</f>
        <v>0</v>
      </c>
      <c r="H47" s="511" t="s">
        <v>431</v>
      </c>
      <c r="I47" s="778">
        <v>125000</v>
      </c>
      <c r="J47" s="782" t="s">
        <v>3</v>
      </c>
      <c r="K47" s="1057">
        <v>4</v>
      </c>
      <c r="L47" s="1057"/>
      <c r="M47" s="782" t="s">
        <v>6</v>
      </c>
      <c r="N47" s="782"/>
      <c r="O47" s="779"/>
      <c r="P47" s="453"/>
      <c r="Q47" s="398"/>
      <c r="R47" s="782"/>
      <c r="S47" s="398"/>
      <c r="T47" s="398"/>
      <c r="U47" s="777" t="s">
        <v>4</v>
      </c>
      <c r="V47" s="398"/>
      <c r="W47" s="398"/>
      <c r="X47" s="783">
        <v>500000</v>
      </c>
    </row>
    <row r="48" spans="1:24" ht="21.75" customHeight="1">
      <c r="A48" s="54"/>
      <c r="B48" s="378"/>
      <c r="C48" s="525"/>
      <c r="D48" s="1052"/>
      <c r="E48" s="69"/>
      <c r="F48" s="69"/>
      <c r="G48" s="308"/>
      <c r="H48" s="780"/>
      <c r="I48" s="778"/>
      <c r="J48" s="782"/>
      <c r="K48" s="1057"/>
      <c r="L48" s="1057"/>
      <c r="M48" s="782"/>
      <c r="N48" s="782"/>
      <c r="O48" s="782"/>
      <c r="P48" s="453"/>
      <c r="Q48" s="453"/>
      <c r="R48" s="782"/>
      <c r="S48" s="782"/>
      <c r="T48" s="782"/>
      <c r="U48" s="779"/>
      <c r="V48" s="779"/>
      <c r="W48" s="781"/>
      <c r="X48" s="95"/>
    </row>
    <row r="49" spans="1:24" ht="21.75" customHeight="1">
      <c r="A49" s="54"/>
      <c r="B49" s="378"/>
      <c r="C49" s="1051" t="s">
        <v>273</v>
      </c>
      <c r="D49" s="528"/>
      <c r="E49" s="107">
        <f>E50</f>
        <v>0</v>
      </c>
      <c r="F49" s="107">
        <f>F50</f>
        <v>0</v>
      </c>
      <c r="G49" s="310"/>
      <c r="H49" s="428"/>
      <c r="I49" s="529"/>
      <c r="J49" s="529"/>
      <c r="K49" s="529"/>
      <c r="L49" s="529"/>
      <c r="M49" s="529"/>
      <c r="N49" s="555"/>
      <c r="O49" s="555"/>
      <c r="P49" s="127"/>
      <c r="Q49" s="127"/>
      <c r="R49" s="127"/>
      <c r="S49" s="127"/>
      <c r="T49" s="127"/>
      <c r="U49" s="127"/>
      <c r="V49" s="127"/>
      <c r="W49" s="127"/>
      <c r="X49" s="530"/>
    </row>
    <row r="50" spans="1:24" ht="21.75" customHeight="1">
      <c r="A50" s="54"/>
      <c r="B50" s="378"/>
      <c r="C50" s="1052"/>
      <c r="D50" s="1051" t="s">
        <v>274</v>
      </c>
      <c r="E50" s="69"/>
      <c r="F50" s="68">
        <v>0</v>
      </c>
      <c r="G50" s="532"/>
      <c r="H50" s="565" t="s">
        <v>277</v>
      </c>
      <c r="I50" s="558"/>
      <c r="J50" s="558"/>
      <c r="K50" s="558"/>
      <c r="L50" s="558"/>
      <c r="M50" s="558"/>
      <c r="N50" s="562"/>
      <c r="O50" s="562"/>
      <c r="P50" s="556"/>
      <c r="Q50" s="556"/>
      <c r="R50" s="556"/>
      <c r="S50" s="556"/>
      <c r="T50" s="556"/>
      <c r="U50" s="556"/>
      <c r="V50" s="556"/>
      <c r="W50" s="556"/>
      <c r="X50" s="557"/>
    </row>
    <row r="51" spans="1:24" ht="21.75" customHeight="1" thickBot="1">
      <c r="A51" s="54"/>
      <c r="B51" s="378"/>
      <c r="C51" s="525"/>
      <c r="D51" s="1054"/>
      <c r="E51" s="73"/>
      <c r="F51" s="73"/>
      <c r="G51" s="531"/>
      <c r="H51" s="133"/>
      <c r="I51" s="1110"/>
      <c r="J51" s="1110"/>
      <c r="K51" s="1110"/>
      <c r="L51" s="1110"/>
      <c r="M51" s="1110"/>
      <c r="N51" s="1110"/>
      <c r="O51" s="1110"/>
      <c r="P51" s="1110"/>
      <c r="Q51" s="1110"/>
      <c r="R51" s="1110"/>
      <c r="S51" s="1110"/>
      <c r="T51" s="526"/>
      <c r="U51" s="136"/>
      <c r="V51" s="294"/>
      <c r="W51" s="294"/>
      <c r="X51" s="514"/>
    </row>
    <row r="52" spans="1:24" ht="21.75" customHeight="1">
      <c r="A52" s="1085" t="s">
        <v>19</v>
      </c>
      <c r="B52" s="146"/>
      <c r="C52" s="82"/>
      <c r="D52" s="82"/>
      <c r="E52" s="194">
        <f>E53</f>
        <v>10000</v>
      </c>
      <c r="F52" s="194">
        <f>F53</f>
        <v>10000</v>
      </c>
      <c r="G52" s="354">
        <f>F52-E52</f>
        <v>0</v>
      </c>
      <c r="H52" s="84"/>
      <c r="I52" s="85"/>
      <c r="J52" s="86"/>
      <c r="K52" s="87"/>
      <c r="L52" s="87"/>
      <c r="M52" s="86"/>
      <c r="N52" s="86"/>
      <c r="O52" s="86"/>
      <c r="P52" s="88"/>
      <c r="Q52" s="88"/>
      <c r="R52" s="86"/>
      <c r="S52" s="86"/>
      <c r="T52" s="86"/>
      <c r="U52" s="86"/>
      <c r="V52" s="89"/>
      <c r="W52" s="86"/>
      <c r="X52" s="97"/>
    </row>
    <row r="53" spans="1:24" ht="21.75" customHeight="1">
      <c r="A53" s="1086"/>
      <c r="B53" s="1051" t="s">
        <v>20</v>
      </c>
      <c r="C53" s="55"/>
      <c r="D53" s="55"/>
      <c r="E53" s="107">
        <f>SUM(E54,E57)</f>
        <v>10000</v>
      </c>
      <c r="F53" s="107">
        <f>SUM(F54,F57)</f>
        <v>10000</v>
      </c>
      <c r="G53" s="309">
        <f>F53-E53</f>
        <v>0</v>
      </c>
      <c r="H53" s="58"/>
      <c r="I53" s="59"/>
      <c r="J53" s="555"/>
      <c r="K53" s="60"/>
      <c r="L53" s="60"/>
      <c r="M53" s="555"/>
      <c r="N53" s="555"/>
      <c r="O53" s="555"/>
      <c r="P53" s="90"/>
      <c r="Q53" s="90"/>
      <c r="R53" s="555"/>
      <c r="S53" s="555"/>
      <c r="T53" s="555"/>
      <c r="U53" s="555"/>
      <c r="V53" s="62"/>
      <c r="W53" s="555"/>
      <c r="X53" s="98"/>
    </row>
    <row r="54" spans="1:24" ht="21.75" customHeight="1">
      <c r="A54" s="580"/>
      <c r="B54" s="1052"/>
      <c r="C54" s="1051" t="s">
        <v>21</v>
      </c>
      <c r="D54" s="141"/>
      <c r="E54" s="68">
        <f>SUM(E55)</f>
        <v>5000</v>
      </c>
      <c r="F54" s="68">
        <f>SUM(F55)</f>
        <v>5000</v>
      </c>
      <c r="G54" s="309">
        <f>F54-E54</f>
        <v>0</v>
      </c>
      <c r="H54" s="75"/>
      <c r="I54" s="78"/>
      <c r="J54" s="548"/>
      <c r="K54" s="105"/>
      <c r="L54" s="105"/>
      <c r="M54" s="548"/>
      <c r="N54" s="548"/>
      <c r="O54" s="548"/>
      <c r="P54" s="549"/>
      <c r="Q54" s="549"/>
      <c r="R54" s="548"/>
      <c r="S54" s="548"/>
      <c r="T54" s="548"/>
      <c r="U54" s="548"/>
      <c r="V54" s="571"/>
      <c r="W54" s="548"/>
      <c r="X54" s="74"/>
    </row>
    <row r="55" spans="1:24" ht="21.75" customHeight="1">
      <c r="A55" s="54"/>
      <c r="B55" s="378"/>
      <c r="C55" s="1052"/>
      <c r="D55" s="1051" t="s">
        <v>22</v>
      </c>
      <c r="E55" s="68">
        <v>5000</v>
      </c>
      <c r="F55" s="68">
        <v>5000</v>
      </c>
      <c r="G55" s="295">
        <f>F55-E55</f>
        <v>0</v>
      </c>
      <c r="H55" s="433" t="s">
        <v>143</v>
      </c>
      <c r="I55" s="78">
        <v>1250000</v>
      </c>
      <c r="J55" s="548"/>
      <c r="K55" s="105"/>
      <c r="L55" s="561" t="s">
        <v>144</v>
      </c>
      <c r="M55" s="548"/>
      <c r="N55" s="1059">
        <v>4</v>
      </c>
      <c r="O55" s="1059"/>
      <c r="P55" s="1062" t="s">
        <v>131</v>
      </c>
      <c r="Q55" s="1062"/>
      <c r="R55" s="548"/>
      <c r="S55" s="548" t="s">
        <v>145</v>
      </c>
      <c r="T55" s="548"/>
      <c r="U55" s="548"/>
      <c r="V55" s="571"/>
      <c r="W55" s="571"/>
      <c r="X55" s="74">
        <f>SUM(I55*N55)</f>
        <v>5000000</v>
      </c>
    </row>
    <row r="56" spans="1:24" ht="21.75" customHeight="1">
      <c r="A56" s="54"/>
      <c r="B56" s="378"/>
      <c r="C56" s="569"/>
      <c r="D56" s="1053"/>
      <c r="E56" s="73"/>
      <c r="F56" s="73"/>
      <c r="G56" s="221"/>
      <c r="H56" s="534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88"/>
    </row>
    <row r="57" spans="1:24" ht="20.25" customHeight="1">
      <c r="A57" s="54"/>
      <c r="B57" s="378"/>
      <c r="C57" s="1052" t="s">
        <v>23</v>
      </c>
      <c r="D57" s="569"/>
      <c r="E57" s="73">
        <f>SUM(E58)</f>
        <v>5000</v>
      </c>
      <c r="F57" s="73">
        <f>SUM(F58)</f>
        <v>5000</v>
      </c>
      <c r="G57" s="308">
        <f>F57-E57</f>
        <v>0</v>
      </c>
      <c r="H57" s="79"/>
      <c r="I57" s="66"/>
      <c r="J57" s="562"/>
      <c r="K57" s="76"/>
      <c r="L57" s="76"/>
      <c r="M57" s="562"/>
      <c r="N57" s="562"/>
      <c r="O57" s="562"/>
      <c r="P57" s="563"/>
      <c r="Q57" s="563"/>
      <c r="R57" s="562"/>
      <c r="S57" s="562"/>
      <c r="T57" s="562"/>
      <c r="U57" s="562"/>
      <c r="V57" s="567"/>
      <c r="W57" s="562"/>
      <c r="X57" s="95"/>
    </row>
    <row r="58" spans="1:24" ht="20.25" customHeight="1">
      <c r="A58" s="54"/>
      <c r="B58" s="378"/>
      <c r="C58" s="1052"/>
      <c r="D58" s="1051" t="s">
        <v>24</v>
      </c>
      <c r="E58" s="68">
        <v>5000</v>
      </c>
      <c r="F58" s="68">
        <v>5000</v>
      </c>
      <c r="G58" s="295">
        <f>F58-E58</f>
        <v>0</v>
      </c>
      <c r="H58" s="433" t="s">
        <v>146</v>
      </c>
      <c r="I58" s="78">
        <v>1250000</v>
      </c>
      <c r="J58" s="548"/>
      <c r="K58" s="105"/>
      <c r="L58" s="561" t="s">
        <v>144</v>
      </c>
      <c r="M58" s="548"/>
      <c r="N58" s="1059">
        <v>4</v>
      </c>
      <c r="O58" s="1059"/>
      <c r="P58" s="1062" t="s">
        <v>131</v>
      </c>
      <c r="Q58" s="1062"/>
      <c r="R58" s="548"/>
      <c r="S58" s="548" t="s">
        <v>145</v>
      </c>
      <c r="T58" s="548"/>
      <c r="U58" s="548"/>
      <c r="V58" s="571"/>
      <c r="W58" s="571"/>
      <c r="X58" s="74">
        <f>SUM(I58*N58)</f>
        <v>5000000</v>
      </c>
    </row>
    <row r="59" spans="1:24" ht="20.25" customHeight="1" thickBot="1">
      <c r="A59" s="80"/>
      <c r="B59" s="158"/>
      <c r="C59" s="459"/>
      <c r="D59" s="1054"/>
      <c r="E59" s="109"/>
      <c r="F59" s="109"/>
      <c r="G59" s="225"/>
      <c r="H59" s="211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487"/>
    </row>
    <row r="60" spans="1:24" ht="20.25" customHeight="1">
      <c r="A60" s="81" t="s">
        <v>34</v>
      </c>
      <c r="B60" s="83"/>
      <c r="C60" s="146"/>
      <c r="D60" s="146"/>
      <c r="E60" s="194"/>
      <c r="F60" s="194">
        <f>SUM(F61)</f>
        <v>0</v>
      </c>
      <c r="G60" s="309">
        <f>F60-E60</f>
        <v>0</v>
      </c>
      <c r="H60" s="51"/>
      <c r="I60" s="52"/>
      <c r="J60" s="452"/>
      <c r="K60" s="53"/>
      <c r="L60" s="53"/>
      <c r="M60" s="452"/>
      <c r="N60" s="452"/>
      <c r="O60" s="452"/>
      <c r="P60" s="450"/>
      <c r="Q60" s="450"/>
      <c r="R60" s="452"/>
      <c r="S60" s="452"/>
      <c r="T60" s="452"/>
      <c r="U60" s="452"/>
      <c r="V60" s="573"/>
      <c r="W60" s="452"/>
      <c r="X60" s="96"/>
    </row>
    <row r="61" spans="1:24" ht="20.25" customHeight="1">
      <c r="A61" s="54"/>
      <c r="B61" s="55" t="s">
        <v>35</v>
      </c>
      <c r="C61" s="144"/>
      <c r="D61" s="141"/>
      <c r="E61" s="107"/>
      <c r="F61" s="107">
        <f>SUM(F62,F65)</f>
        <v>0</v>
      </c>
      <c r="G61" s="310">
        <f>F61-E61</f>
        <v>0</v>
      </c>
      <c r="H61" s="58"/>
      <c r="I61" s="59"/>
      <c r="J61" s="796"/>
      <c r="K61" s="60"/>
      <c r="L61" s="60"/>
      <c r="M61" s="796"/>
      <c r="N61" s="796"/>
      <c r="O61" s="796"/>
      <c r="P61" s="90"/>
      <c r="Q61" s="90"/>
      <c r="R61" s="796"/>
      <c r="S61" s="796"/>
      <c r="T61" s="796"/>
      <c r="U61" s="796"/>
      <c r="V61" s="62"/>
      <c r="W61" s="796"/>
      <c r="X61" s="98"/>
    </row>
    <row r="62" spans="1:24" ht="20.25" customHeight="1">
      <c r="A62" s="92"/>
      <c r="B62" s="525"/>
      <c r="C62" s="1052" t="s">
        <v>38</v>
      </c>
      <c r="D62" s="812"/>
      <c r="E62" s="69"/>
      <c r="F62" s="69">
        <f>SUM(F63)</f>
        <v>0</v>
      </c>
      <c r="G62" s="308">
        <f>F62-E62</f>
        <v>0</v>
      </c>
      <c r="H62" s="79"/>
      <c r="I62" s="66"/>
      <c r="J62" s="805"/>
      <c r="K62" s="76"/>
      <c r="L62" s="76"/>
      <c r="M62" s="805"/>
      <c r="N62" s="805"/>
      <c r="O62" s="805"/>
      <c r="P62" s="806"/>
      <c r="Q62" s="806"/>
      <c r="R62" s="805"/>
      <c r="S62" s="805"/>
      <c r="T62" s="805"/>
      <c r="U62" s="805"/>
      <c r="V62" s="811"/>
      <c r="W62" s="805"/>
      <c r="X62" s="95"/>
    </row>
    <row r="63" spans="1:24" ht="20.25" customHeight="1">
      <c r="A63" s="54"/>
      <c r="B63" s="525"/>
      <c r="C63" s="1052"/>
      <c r="D63" s="1051" t="s">
        <v>36</v>
      </c>
      <c r="E63" s="68"/>
      <c r="F63" s="68"/>
      <c r="G63" s="224"/>
      <c r="H63" s="75" t="s">
        <v>147</v>
      </c>
      <c r="I63" s="78"/>
      <c r="J63" s="548"/>
      <c r="K63" s="105"/>
      <c r="L63" s="105"/>
      <c r="M63" s="548"/>
      <c r="N63" s="548"/>
      <c r="O63" s="548"/>
      <c r="P63" s="549"/>
      <c r="Q63" s="549"/>
      <c r="R63" s="548"/>
      <c r="S63" s="548"/>
      <c r="T63" s="548"/>
      <c r="U63" s="548"/>
      <c r="V63" s="571"/>
      <c r="W63" s="548"/>
      <c r="X63" s="74"/>
    </row>
    <row r="64" spans="1:24" ht="20.25" customHeight="1">
      <c r="A64" s="54"/>
      <c r="B64" s="525"/>
      <c r="C64" s="569"/>
      <c r="D64" s="1053"/>
      <c r="E64" s="69"/>
      <c r="F64" s="69"/>
      <c r="G64" s="223"/>
      <c r="H64" s="79"/>
      <c r="I64" s="66"/>
      <c r="J64" s="562"/>
      <c r="K64" s="76"/>
      <c r="L64" s="76"/>
      <c r="M64" s="562"/>
      <c r="N64" s="562"/>
      <c r="O64" s="562"/>
      <c r="P64" s="563"/>
      <c r="Q64" s="563"/>
      <c r="R64" s="562"/>
      <c r="S64" s="562"/>
      <c r="T64" s="562"/>
      <c r="U64" s="562"/>
      <c r="V64" s="567"/>
      <c r="W64" s="562"/>
      <c r="X64" s="95"/>
    </row>
    <row r="65" spans="1:24" ht="20.25" customHeight="1">
      <c r="A65" s="54"/>
      <c r="B65" s="525"/>
      <c r="C65" s="1051" t="s">
        <v>39</v>
      </c>
      <c r="D65" s="568"/>
      <c r="E65" s="68"/>
      <c r="F65" s="107">
        <f>SUM(F66)</f>
        <v>0</v>
      </c>
      <c r="G65" s="309">
        <f>F65-E65</f>
        <v>0</v>
      </c>
      <c r="H65" s="75"/>
      <c r="I65" s="78"/>
      <c r="J65" s="548"/>
      <c r="K65" s="105"/>
      <c r="L65" s="105"/>
      <c r="M65" s="548"/>
      <c r="N65" s="548"/>
      <c r="O65" s="548"/>
      <c r="P65" s="549"/>
      <c r="Q65" s="549"/>
      <c r="R65" s="548"/>
      <c r="S65" s="548"/>
      <c r="T65" s="548"/>
      <c r="U65" s="548"/>
      <c r="V65" s="571"/>
      <c r="W65" s="548"/>
      <c r="X65" s="74"/>
    </row>
    <row r="66" spans="1:24" ht="20.25" customHeight="1">
      <c r="A66" s="54"/>
      <c r="B66" s="525"/>
      <c r="C66" s="1052"/>
      <c r="D66" s="1051" t="s">
        <v>37</v>
      </c>
      <c r="E66" s="68"/>
      <c r="F66" s="68"/>
      <c r="G66" s="224"/>
      <c r="H66" s="75" t="s">
        <v>148</v>
      </c>
      <c r="I66" s="78"/>
      <c r="J66" s="548"/>
      <c r="K66" s="105"/>
      <c r="L66" s="105"/>
      <c r="M66" s="548"/>
      <c r="N66" s="548"/>
      <c r="O66" s="548"/>
      <c r="P66" s="549"/>
      <c r="Q66" s="549"/>
      <c r="R66" s="548"/>
      <c r="S66" s="548"/>
      <c r="T66" s="548"/>
      <c r="U66" s="548"/>
      <c r="V66" s="571"/>
      <c r="W66" s="548"/>
      <c r="X66" s="74"/>
    </row>
    <row r="67" spans="1:24" ht="20.25" customHeight="1" thickBot="1">
      <c r="A67" s="80"/>
      <c r="B67" s="108"/>
      <c r="C67" s="459"/>
      <c r="D67" s="1054"/>
      <c r="E67" s="109"/>
      <c r="F67" s="109"/>
      <c r="G67" s="225"/>
      <c r="H67" s="91"/>
      <c r="I67" s="110"/>
      <c r="J67" s="448"/>
      <c r="K67" s="111"/>
      <c r="L67" s="111"/>
      <c r="M67" s="448"/>
      <c r="N67" s="448"/>
      <c r="O67" s="448"/>
      <c r="P67" s="449"/>
      <c r="Q67" s="449"/>
      <c r="R67" s="448"/>
      <c r="S67" s="448"/>
      <c r="T67" s="448"/>
      <c r="U67" s="448"/>
      <c r="V67" s="572"/>
      <c r="W67" s="448"/>
      <c r="X67" s="112"/>
    </row>
    <row r="68" spans="1:24" ht="20.25" customHeight="1">
      <c r="A68" s="81" t="s">
        <v>25</v>
      </c>
      <c r="B68" s="83"/>
      <c r="C68" s="146"/>
      <c r="D68" s="146"/>
      <c r="E68" s="197">
        <f>SUM(E69)</f>
        <v>0</v>
      </c>
      <c r="F68" s="197">
        <f>SUM(F69)</f>
        <v>3000</v>
      </c>
      <c r="G68" s="355">
        <f>F68-E68</f>
        <v>3000</v>
      </c>
      <c r="H68" s="84"/>
      <c r="I68" s="85"/>
      <c r="J68" s="86"/>
      <c r="K68" s="87"/>
      <c r="L68" s="87"/>
      <c r="M68" s="86"/>
      <c r="N68" s="86"/>
      <c r="O68" s="86"/>
      <c r="P68" s="88"/>
      <c r="Q68" s="88"/>
      <c r="R68" s="86"/>
      <c r="S68" s="86"/>
      <c r="T68" s="86"/>
      <c r="U68" s="86"/>
      <c r="V68" s="89"/>
      <c r="W68" s="86"/>
      <c r="X68" s="97"/>
    </row>
    <row r="69" spans="1:24" ht="20.25" customHeight="1">
      <c r="A69" s="54"/>
      <c r="B69" s="55" t="s">
        <v>26</v>
      </c>
      <c r="C69" s="144"/>
      <c r="D69" s="141"/>
      <c r="E69" s="107">
        <f>SUM(E70+E73)</f>
        <v>0</v>
      </c>
      <c r="F69" s="107">
        <f>SUM(F70+F73)</f>
        <v>3000</v>
      </c>
      <c r="G69" s="309">
        <f>F69-E69</f>
        <v>3000</v>
      </c>
      <c r="H69" s="58"/>
      <c r="I69" s="59"/>
      <c r="J69" s="555"/>
      <c r="K69" s="60"/>
      <c r="L69" s="60"/>
      <c r="M69" s="555"/>
      <c r="N69" s="555"/>
      <c r="O69" s="555"/>
      <c r="P69" s="90"/>
      <c r="Q69" s="90"/>
      <c r="R69" s="555"/>
      <c r="S69" s="555"/>
      <c r="T69" s="555"/>
      <c r="U69" s="555"/>
      <c r="V69" s="62"/>
      <c r="W69" s="555"/>
      <c r="X69" s="98"/>
    </row>
    <row r="70" spans="1:24" ht="20.25" customHeight="1">
      <c r="A70" s="54"/>
      <c r="B70" s="525"/>
      <c r="C70" s="1051" t="s">
        <v>272</v>
      </c>
      <c r="D70" s="574"/>
      <c r="E70" s="69">
        <f>E71</f>
        <v>0</v>
      </c>
      <c r="F70" s="69">
        <f>F71</f>
        <v>3000</v>
      </c>
      <c r="G70" s="309">
        <f>F70-E70</f>
        <v>3000</v>
      </c>
      <c r="H70" s="79"/>
      <c r="I70" s="66"/>
      <c r="J70" s="562"/>
      <c r="K70" s="76"/>
      <c r="L70" s="76"/>
      <c r="M70" s="562"/>
      <c r="N70" s="562"/>
      <c r="O70" s="562"/>
      <c r="P70" s="563"/>
      <c r="Q70" s="563"/>
      <c r="R70" s="562"/>
      <c r="S70" s="562"/>
      <c r="T70" s="562"/>
      <c r="U70" s="562"/>
      <c r="V70" s="567"/>
      <c r="W70" s="562"/>
      <c r="X70" s="95"/>
    </row>
    <row r="71" spans="1:24" ht="20.25" customHeight="1">
      <c r="A71" s="54"/>
      <c r="B71" s="525"/>
      <c r="C71" s="1052"/>
      <c r="D71" s="1051" t="s">
        <v>27</v>
      </c>
      <c r="E71" s="68"/>
      <c r="F71" s="68">
        <v>3000</v>
      </c>
      <c r="G71" s="295">
        <f>F71-E71</f>
        <v>3000</v>
      </c>
      <c r="H71" s="472" t="s">
        <v>80</v>
      </c>
      <c r="I71" s="78"/>
      <c r="J71" s="548"/>
      <c r="K71" s="105"/>
      <c r="L71" s="561"/>
      <c r="M71" s="548"/>
      <c r="N71" s="1059"/>
      <c r="O71" s="1059"/>
      <c r="P71" s="1062"/>
      <c r="Q71" s="1062"/>
      <c r="R71" s="548"/>
      <c r="S71" s="548"/>
      <c r="T71" s="548"/>
      <c r="U71" s="548"/>
      <c r="V71" s="571"/>
      <c r="W71" s="571"/>
      <c r="X71" s="74">
        <v>3000000</v>
      </c>
    </row>
    <row r="72" spans="1:24" ht="20.25" customHeight="1">
      <c r="A72" s="54"/>
      <c r="B72" s="525"/>
      <c r="C72" s="570"/>
      <c r="D72" s="1053"/>
      <c r="E72" s="73"/>
      <c r="F72" s="73"/>
      <c r="G72" s="221"/>
      <c r="H72" s="465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88"/>
    </row>
    <row r="73" spans="1:24" ht="20.25" customHeight="1">
      <c r="A73" s="54"/>
      <c r="B73" s="525"/>
      <c r="C73" s="1051" t="s">
        <v>275</v>
      </c>
      <c r="D73" s="550"/>
      <c r="E73" s="69"/>
      <c r="F73" s="69">
        <f>F74</f>
        <v>0</v>
      </c>
      <c r="G73" s="223"/>
      <c r="H73" s="468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489"/>
    </row>
    <row r="74" spans="1:24" ht="20.25" customHeight="1">
      <c r="A74" s="54"/>
      <c r="B74" s="525"/>
      <c r="C74" s="1052"/>
      <c r="D74" s="1051" t="s">
        <v>276</v>
      </c>
      <c r="E74" s="68"/>
      <c r="F74" s="68"/>
      <c r="G74" s="295">
        <f>F74-E74</f>
        <v>0</v>
      </c>
      <c r="H74" s="472" t="s">
        <v>278</v>
      </c>
      <c r="I74" s="78"/>
      <c r="J74" s="548"/>
      <c r="K74" s="105"/>
      <c r="L74" s="561"/>
      <c r="M74" s="548"/>
      <c r="N74" s="1059"/>
      <c r="O74" s="1059"/>
      <c r="P74" s="1062"/>
      <c r="Q74" s="1062"/>
      <c r="R74" s="548"/>
      <c r="S74" s="548"/>
      <c r="T74" s="548"/>
      <c r="U74" s="548"/>
      <c r="V74" s="571"/>
      <c r="W74" s="571"/>
      <c r="X74" s="74"/>
    </row>
    <row r="75" spans="1:24" ht="20.25" customHeight="1" thickBot="1">
      <c r="A75" s="80"/>
      <c r="B75" s="108"/>
      <c r="C75" s="459"/>
      <c r="D75" s="1054"/>
      <c r="E75" s="109"/>
      <c r="F75" s="109"/>
      <c r="G75" s="225"/>
      <c r="H75" s="477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487"/>
    </row>
    <row r="76" spans="1:24" ht="20.25" customHeight="1">
      <c r="A76" s="81" t="s">
        <v>28</v>
      </c>
      <c r="B76" s="117"/>
      <c r="C76" s="82"/>
      <c r="D76" s="82"/>
      <c r="E76" s="194">
        <f>SUM(E77)</f>
        <v>77000</v>
      </c>
      <c r="F76" s="194">
        <f>SUM(F77)</f>
        <v>73748.11499999999</v>
      </c>
      <c r="G76" s="359">
        <f>F76-E76</f>
        <v>-3251.8850000000093</v>
      </c>
      <c r="H76" s="84"/>
      <c r="I76" s="85"/>
      <c r="J76" s="86"/>
      <c r="K76" s="87"/>
      <c r="L76" s="87"/>
      <c r="M76" s="86"/>
      <c r="N76" s="86"/>
      <c r="O76" s="86"/>
      <c r="P76" s="88"/>
      <c r="Q76" s="88"/>
      <c r="R76" s="86"/>
      <c r="S76" s="86"/>
      <c r="T76" s="86"/>
      <c r="U76" s="86"/>
      <c r="V76" s="89"/>
      <c r="W76" s="86"/>
      <c r="X76" s="97"/>
    </row>
    <row r="77" spans="1:24" ht="20.25" customHeight="1">
      <c r="A77" s="54"/>
      <c r="B77" s="524" t="s">
        <v>29</v>
      </c>
      <c r="C77" s="77"/>
      <c r="D77" s="524"/>
      <c r="E77" s="68">
        <f>SUM(E78+E85)</f>
        <v>77000</v>
      </c>
      <c r="F77" s="68">
        <f>SUM(F78+F85)</f>
        <v>73748.11499999999</v>
      </c>
      <c r="G77" s="309">
        <f>F77-E77</f>
        <v>-3251.8850000000093</v>
      </c>
      <c r="H77" s="75"/>
      <c r="I77" s="78"/>
      <c r="J77" s="548"/>
      <c r="K77" s="105"/>
      <c r="L77" s="105"/>
      <c r="M77" s="548"/>
      <c r="N77" s="548"/>
      <c r="O77" s="548"/>
      <c r="P77" s="549"/>
      <c r="Q77" s="549"/>
      <c r="R77" s="548"/>
      <c r="S77" s="548"/>
      <c r="T77" s="548"/>
      <c r="U77" s="548"/>
      <c r="V77" s="571"/>
      <c r="W77" s="548"/>
      <c r="X77" s="74"/>
    </row>
    <row r="78" spans="1:24" ht="20.25" customHeight="1">
      <c r="A78" s="113"/>
      <c r="B78" s="93"/>
      <c r="C78" s="1051" t="s">
        <v>30</v>
      </c>
      <c r="D78" s="141"/>
      <c r="E78" s="107">
        <f>SUM(E79,E81,E83)</f>
        <v>77000</v>
      </c>
      <c r="F78" s="107">
        <f>SUM(F79,F81,F83)</f>
        <v>73748.11499999999</v>
      </c>
      <c r="G78" s="309">
        <f>F78-E78</f>
        <v>-3251.8850000000093</v>
      </c>
      <c r="H78" s="114"/>
      <c r="I78" s="59"/>
      <c r="J78" s="555"/>
      <c r="K78" s="60"/>
      <c r="L78" s="60"/>
      <c r="M78" s="555"/>
      <c r="N78" s="555"/>
      <c r="O78" s="555"/>
      <c r="P78" s="90"/>
      <c r="Q78" s="90"/>
      <c r="R78" s="555"/>
      <c r="S78" s="555"/>
      <c r="T78" s="555"/>
      <c r="U78" s="555"/>
      <c r="V78" s="62"/>
      <c r="W78" s="555"/>
      <c r="X78" s="98"/>
    </row>
    <row r="79" spans="1:24" ht="20.25" customHeight="1">
      <c r="A79" s="113"/>
      <c r="B79" s="93"/>
      <c r="C79" s="1052"/>
      <c r="D79" s="1051" t="s">
        <v>31</v>
      </c>
      <c r="E79" s="68">
        <v>53000</v>
      </c>
      <c r="F79" s="68">
        <f>X79/1000</f>
        <v>45835.352</v>
      </c>
      <c r="G79" s="295">
        <f>F79-E79</f>
        <v>-7164.648000000001</v>
      </c>
      <c r="H79" s="844" t="s">
        <v>617</v>
      </c>
      <c r="I79" s="464"/>
      <c r="J79" s="872"/>
      <c r="K79" s="880"/>
      <c r="L79" s="880"/>
      <c r="M79" s="872"/>
      <c r="N79" s="872"/>
      <c r="O79" s="872"/>
      <c r="P79" s="881"/>
      <c r="Q79" s="881"/>
      <c r="R79" s="872"/>
      <c r="S79" s="872"/>
      <c r="T79" s="872"/>
      <c r="U79" s="872"/>
      <c r="V79" s="539"/>
      <c r="W79" s="872"/>
      <c r="X79" s="486">
        <v>45835352</v>
      </c>
    </row>
    <row r="80" spans="1:24" ht="20.25" customHeight="1">
      <c r="A80" s="113"/>
      <c r="B80" s="155"/>
      <c r="C80" s="550"/>
      <c r="D80" s="1053"/>
      <c r="E80" s="73"/>
      <c r="F80" s="73"/>
      <c r="G80" s="221"/>
      <c r="H80" s="1071"/>
      <c r="I80" s="1072"/>
      <c r="J80" s="1072"/>
      <c r="K80" s="1072"/>
      <c r="L80" s="1072"/>
      <c r="M80" s="1072"/>
      <c r="N80" s="879"/>
      <c r="O80" s="879"/>
      <c r="P80" s="882"/>
      <c r="Q80" s="882"/>
      <c r="R80" s="879"/>
      <c r="S80" s="879"/>
      <c r="T80" s="879"/>
      <c r="U80" s="879"/>
      <c r="V80" s="482"/>
      <c r="W80" s="879"/>
      <c r="X80" s="102"/>
    </row>
    <row r="81" spans="1:24" ht="20.25" customHeight="1">
      <c r="A81" s="49"/>
      <c r="B81" s="525"/>
      <c r="C81" s="574"/>
      <c r="D81" s="1052" t="s">
        <v>32</v>
      </c>
      <c r="E81" s="69">
        <v>14000</v>
      </c>
      <c r="F81" s="69">
        <f>X81/1000</f>
        <v>13855.763</v>
      </c>
      <c r="G81" s="308">
        <f>F81-E81</f>
        <v>-144.23699999999917</v>
      </c>
      <c r="H81" s="883" t="s">
        <v>618</v>
      </c>
      <c r="I81" s="431"/>
      <c r="J81" s="380"/>
      <c r="K81" s="884"/>
      <c r="L81" s="884"/>
      <c r="M81" s="380"/>
      <c r="N81" s="380"/>
      <c r="O81" s="380"/>
      <c r="P81" s="885"/>
      <c r="Q81" s="885"/>
      <c r="R81" s="380"/>
      <c r="S81" s="380"/>
      <c r="T81" s="380"/>
      <c r="U81" s="380"/>
      <c r="V81" s="106"/>
      <c r="W81" s="380"/>
      <c r="X81" s="103">
        <v>13855763</v>
      </c>
    </row>
    <row r="82" spans="1:24" ht="20.25" customHeight="1">
      <c r="A82" s="113"/>
      <c r="B82" s="93"/>
      <c r="C82" s="574"/>
      <c r="D82" s="1053"/>
      <c r="E82" s="73"/>
      <c r="F82" s="73"/>
      <c r="G82" s="221"/>
      <c r="H82" s="1071"/>
      <c r="I82" s="1072"/>
      <c r="J82" s="879"/>
      <c r="K82" s="886"/>
      <c r="L82" s="886"/>
      <c r="M82" s="879"/>
      <c r="N82" s="879"/>
      <c r="O82" s="879"/>
      <c r="P82" s="882"/>
      <c r="Q82" s="882"/>
      <c r="R82" s="879"/>
      <c r="S82" s="879"/>
      <c r="T82" s="879"/>
      <c r="U82" s="879"/>
      <c r="V82" s="482"/>
      <c r="W82" s="879"/>
      <c r="X82" s="102"/>
    </row>
    <row r="83" spans="1:24" ht="20.25" customHeight="1">
      <c r="A83" s="113"/>
      <c r="B83" s="93"/>
      <c r="C83" s="574"/>
      <c r="D83" s="1051" t="s">
        <v>33</v>
      </c>
      <c r="E83" s="68">
        <v>10000</v>
      </c>
      <c r="F83" s="68">
        <v>14057</v>
      </c>
      <c r="G83" s="309">
        <f>F83-E83</f>
        <v>4057</v>
      </c>
      <c r="H83" s="844" t="s">
        <v>619</v>
      </c>
      <c r="I83" s="464"/>
      <c r="J83" s="872"/>
      <c r="K83" s="880"/>
      <c r="L83" s="880"/>
      <c r="M83" s="872"/>
      <c r="N83" s="872"/>
      <c r="O83" s="872"/>
      <c r="P83" s="881"/>
      <c r="Q83" s="881"/>
      <c r="R83" s="872"/>
      <c r="S83" s="872"/>
      <c r="T83" s="872"/>
      <c r="U83" s="872"/>
      <c r="V83" s="539"/>
      <c r="W83" s="872"/>
      <c r="X83" s="103">
        <v>14056990</v>
      </c>
    </row>
    <row r="84" spans="1:24" ht="20.25" customHeight="1">
      <c r="A84" s="113"/>
      <c r="B84" s="93"/>
      <c r="C84" s="569"/>
      <c r="D84" s="1053"/>
      <c r="E84" s="73"/>
      <c r="F84" s="73"/>
      <c r="G84" s="221"/>
      <c r="H84" s="551"/>
      <c r="I84" s="533"/>
      <c r="J84" s="452"/>
      <c r="K84" s="53"/>
      <c r="L84" s="53"/>
      <c r="M84" s="452"/>
      <c r="N84" s="452"/>
      <c r="O84" s="452"/>
      <c r="P84" s="450"/>
      <c r="Q84" s="450"/>
      <c r="R84" s="452"/>
      <c r="S84" s="452"/>
      <c r="T84" s="452"/>
      <c r="U84" s="452"/>
      <c r="V84" s="573"/>
      <c r="W84" s="452"/>
      <c r="X84" s="488"/>
    </row>
    <row r="85" spans="1:24" ht="20.25" customHeight="1">
      <c r="A85" s="113"/>
      <c r="B85" s="93"/>
      <c r="C85" s="1052" t="s">
        <v>116</v>
      </c>
      <c r="D85" s="569"/>
      <c r="E85" s="73"/>
      <c r="F85" s="73">
        <f>SUM(F86)</f>
        <v>0</v>
      </c>
      <c r="G85" s="308">
        <f>F85-E85</f>
        <v>0</v>
      </c>
      <c r="H85" s="116"/>
      <c r="I85" s="52"/>
      <c r="J85" s="452"/>
      <c r="K85" s="53"/>
      <c r="L85" s="53"/>
      <c r="M85" s="452"/>
      <c r="N85" s="452"/>
      <c r="O85" s="452"/>
      <c r="P85" s="450"/>
      <c r="Q85" s="450"/>
      <c r="R85" s="452"/>
      <c r="S85" s="452"/>
      <c r="T85" s="452"/>
      <c r="U85" s="452"/>
      <c r="V85" s="573"/>
      <c r="W85" s="452"/>
      <c r="X85" s="96"/>
    </row>
    <row r="86" spans="1:24" ht="20.25" customHeight="1">
      <c r="A86" s="113"/>
      <c r="B86" s="93"/>
      <c r="C86" s="1052"/>
      <c r="D86" s="1051" t="s">
        <v>117</v>
      </c>
      <c r="E86" s="68"/>
      <c r="F86" s="68"/>
      <c r="G86" s="309">
        <f>F86-E86</f>
        <v>0</v>
      </c>
      <c r="H86" s="115" t="s">
        <v>149</v>
      </c>
      <c r="I86" s="78"/>
      <c r="J86" s="548"/>
      <c r="K86" s="105"/>
      <c r="L86" s="105"/>
      <c r="M86" s="548"/>
      <c r="N86" s="548"/>
      <c r="O86" s="548"/>
      <c r="P86" s="549"/>
      <c r="Q86" s="549"/>
      <c r="R86" s="548"/>
      <c r="S86" s="548"/>
      <c r="T86" s="548"/>
      <c r="U86" s="548"/>
      <c r="V86" s="571"/>
      <c r="W86" s="548"/>
      <c r="X86" s="74"/>
    </row>
    <row r="87" spans="1:24" ht="20.25" customHeight="1" thickBot="1">
      <c r="A87" s="121"/>
      <c r="B87" s="198"/>
      <c r="C87" s="459"/>
      <c r="D87" s="1054"/>
      <c r="E87" s="109"/>
      <c r="F87" s="109"/>
      <c r="G87" s="225"/>
      <c r="H87" s="123"/>
      <c r="I87" s="110"/>
      <c r="J87" s="448"/>
      <c r="K87" s="111"/>
      <c r="L87" s="111"/>
      <c r="M87" s="448"/>
      <c r="N87" s="448"/>
      <c r="O87" s="448"/>
      <c r="P87" s="449"/>
      <c r="Q87" s="449"/>
      <c r="R87" s="448"/>
      <c r="S87" s="448"/>
      <c r="T87" s="448"/>
      <c r="U87" s="448"/>
      <c r="V87" s="572"/>
      <c r="W87" s="448"/>
      <c r="X87" s="112"/>
    </row>
    <row r="88" spans="1:24" ht="20.25" customHeight="1">
      <c r="A88" s="81" t="s">
        <v>279</v>
      </c>
      <c r="B88" s="117"/>
      <c r="C88" s="146"/>
      <c r="D88" s="146"/>
      <c r="E88" s="194">
        <f>E89</f>
        <v>13362</v>
      </c>
      <c r="F88" s="194">
        <f>F89</f>
        <v>14862</v>
      </c>
      <c r="G88" s="359">
        <f>F88-E88</f>
        <v>1500</v>
      </c>
      <c r="H88" s="405"/>
      <c r="I88" s="124"/>
      <c r="J88" s="125"/>
      <c r="K88" s="232"/>
      <c r="L88" s="232"/>
      <c r="M88" s="125"/>
      <c r="N88" s="125"/>
      <c r="O88" s="125"/>
      <c r="P88" s="490"/>
      <c r="Q88" s="490"/>
      <c r="R88" s="125"/>
      <c r="S88" s="125"/>
      <c r="T88" s="125"/>
      <c r="U88" s="125"/>
      <c r="V88" s="575"/>
      <c r="W88" s="125"/>
      <c r="X88" s="161"/>
    </row>
    <row r="89" spans="1:24" ht="20.25" customHeight="1">
      <c r="A89" s="54"/>
      <c r="B89" s="524" t="s">
        <v>280</v>
      </c>
      <c r="C89" s="143"/>
      <c r="D89" s="568"/>
      <c r="E89" s="68">
        <f>SUM(E90,E93,E96)</f>
        <v>13362</v>
      </c>
      <c r="F89" s="68">
        <f>SUM(F90,F93,F96)</f>
        <v>14862</v>
      </c>
      <c r="G89" s="309">
        <f>F89-E89</f>
        <v>1500</v>
      </c>
      <c r="H89" s="58"/>
      <c r="I89" s="59"/>
      <c r="J89" s="555"/>
      <c r="K89" s="60"/>
      <c r="L89" s="60"/>
      <c r="M89" s="555"/>
      <c r="N89" s="555"/>
      <c r="O89" s="555"/>
      <c r="P89" s="90"/>
      <c r="Q89" s="90"/>
      <c r="R89" s="555"/>
      <c r="S89" s="555"/>
      <c r="T89" s="555"/>
      <c r="U89" s="555"/>
      <c r="V89" s="62"/>
      <c r="W89" s="555"/>
      <c r="X89" s="98"/>
    </row>
    <row r="90" spans="1:24" ht="20.25" customHeight="1">
      <c r="A90" s="113"/>
      <c r="B90" s="93"/>
      <c r="C90" s="1051" t="s">
        <v>40</v>
      </c>
      <c r="D90" s="141"/>
      <c r="E90" s="107">
        <f>SUM(E91)</f>
        <v>200</v>
      </c>
      <c r="F90" s="107">
        <f>SUM(F91)</f>
        <v>200</v>
      </c>
      <c r="G90" s="309">
        <f>F90-E90</f>
        <v>0</v>
      </c>
      <c r="H90" s="115"/>
      <c r="I90" s="78"/>
      <c r="J90" s="785"/>
      <c r="K90" s="105"/>
      <c r="L90" s="105"/>
      <c r="M90" s="785"/>
      <c r="N90" s="785"/>
      <c r="O90" s="785"/>
      <c r="P90" s="786"/>
      <c r="Q90" s="786"/>
      <c r="R90" s="785"/>
      <c r="S90" s="785"/>
      <c r="T90" s="785"/>
      <c r="U90" s="785"/>
      <c r="V90" s="813"/>
      <c r="W90" s="785"/>
      <c r="X90" s="74"/>
    </row>
    <row r="91" spans="1:24" ht="20.25" customHeight="1">
      <c r="A91" s="113"/>
      <c r="B91" s="93"/>
      <c r="C91" s="1052"/>
      <c r="D91" s="1051" t="s">
        <v>41</v>
      </c>
      <c r="E91" s="68">
        <v>200</v>
      </c>
      <c r="F91" s="68">
        <f>X91/1000</f>
        <v>200</v>
      </c>
      <c r="G91" s="295">
        <f>F91-E91</f>
        <v>0</v>
      </c>
      <c r="H91" s="311" t="s">
        <v>150</v>
      </c>
      <c r="I91" s="78"/>
      <c r="J91" s="785"/>
      <c r="K91" s="105"/>
      <c r="L91" s="105"/>
      <c r="M91" s="785"/>
      <c r="N91" s="785"/>
      <c r="O91" s="785"/>
      <c r="P91" s="786"/>
      <c r="Q91" s="786"/>
      <c r="R91" s="785"/>
      <c r="S91" s="785"/>
      <c r="T91" s="785"/>
      <c r="U91" s="785"/>
      <c r="V91" s="813"/>
      <c r="W91" s="785"/>
      <c r="X91" s="473">
        <v>200000</v>
      </c>
    </row>
    <row r="92" spans="1:24" ht="20.25" customHeight="1">
      <c r="A92" s="113"/>
      <c r="B92" s="93"/>
      <c r="C92" s="815"/>
      <c r="D92" s="1053"/>
      <c r="E92" s="73"/>
      <c r="F92" s="73"/>
      <c r="G92" s="221"/>
      <c r="H92" s="116"/>
      <c r="I92" s="52"/>
      <c r="J92" s="452"/>
      <c r="K92" s="53"/>
      <c r="L92" s="53"/>
      <c r="M92" s="452"/>
      <c r="N92" s="452"/>
      <c r="O92" s="452"/>
      <c r="P92" s="450"/>
      <c r="Q92" s="450"/>
      <c r="R92" s="452"/>
      <c r="S92" s="452"/>
      <c r="T92" s="452"/>
      <c r="U92" s="452"/>
      <c r="V92" s="814"/>
      <c r="W92" s="452"/>
      <c r="X92" s="96"/>
    </row>
    <row r="93" spans="1:24" ht="20.25" customHeight="1">
      <c r="A93" s="113"/>
      <c r="B93" s="93"/>
      <c r="C93" s="1052" t="s">
        <v>42</v>
      </c>
      <c r="D93" s="815"/>
      <c r="E93" s="73">
        <f>E94</f>
        <v>162</v>
      </c>
      <c r="F93" s="73">
        <f>F94</f>
        <v>162</v>
      </c>
      <c r="G93" s="308">
        <f>F93-E93</f>
        <v>0</v>
      </c>
      <c r="H93" s="116"/>
      <c r="I93" s="52"/>
      <c r="J93" s="452"/>
      <c r="K93" s="53"/>
      <c r="L93" s="53"/>
      <c r="M93" s="452"/>
      <c r="N93" s="452"/>
      <c r="O93" s="452"/>
      <c r="P93" s="450"/>
      <c r="Q93" s="450"/>
      <c r="R93" s="452"/>
      <c r="S93" s="452"/>
      <c r="T93" s="452"/>
      <c r="U93" s="452"/>
      <c r="V93" s="814"/>
      <c r="W93" s="452"/>
      <c r="X93" s="96"/>
    </row>
    <row r="94" spans="1:24" ht="20.25" customHeight="1">
      <c r="A94" s="113"/>
      <c r="B94" s="93"/>
      <c r="C94" s="1052"/>
      <c r="D94" s="1051" t="s">
        <v>44</v>
      </c>
      <c r="E94" s="68">
        <v>162</v>
      </c>
      <c r="F94" s="68">
        <v>162</v>
      </c>
      <c r="G94" s="309">
        <f>F94-E94</f>
        <v>0</v>
      </c>
      <c r="H94" s="312" t="s">
        <v>151</v>
      </c>
      <c r="I94" s="66"/>
      <c r="J94" s="562"/>
      <c r="K94" s="76"/>
      <c r="L94" s="76"/>
      <c r="M94" s="562"/>
      <c r="N94" s="562"/>
      <c r="O94" s="562"/>
      <c r="P94" s="133"/>
      <c r="Q94" s="133"/>
      <c r="R94" s="133"/>
      <c r="S94" s="133"/>
      <c r="T94" s="133"/>
      <c r="U94" s="133"/>
      <c r="V94" s="133"/>
      <c r="W94" s="133"/>
      <c r="X94" s="513">
        <v>162000</v>
      </c>
    </row>
    <row r="95" spans="1:24" ht="20.25" customHeight="1">
      <c r="A95" s="113"/>
      <c r="B95" s="93"/>
      <c r="C95" s="569"/>
      <c r="D95" s="1053"/>
      <c r="E95" s="73"/>
      <c r="F95" s="73"/>
      <c r="G95" s="297"/>
      <c r="H95" s="116"/>
      <c r="I95" s="52"/>
      <c r="J95" s="452"/>
      <c r="K95" s="53"/>
      <c r="L95" s="53"/>
      <c r="M95" s="452"/>
      <c r="N95" s="452"/>
      <c r="O95" s="452"/>
      <c r="P95" s="1069"/>
      <c r="Q95" s="1069"/>
      <c r="R95" s="1069"/>
      <c r="S95" s="1069"/>
      <c r="T95" s="1069"/>
      <c r="U95" s="1069"/>
      <c r="V95" s="1069"/>
      <c r="W95" s="1069"/>
      <c r="X95" s="1070"/>
    </row>
    <row r="96" spans="1:24" ht="20.25" customHeight="1">
      <c r="A96" s="113"/>
      <c r="B96" s="93"/>
      <c r="C96" s="1052" t="s">
        <v>43</v>
      </c>
      <c r="D96" s="569"/>
      <c r="E96" s="73">
        <f>SUM(E97,E99)</f>
        <v>13000</v>
      </c>
      <c r="F96" s="73">
        <f>SUM(F97,F99)</f>
        <v>14500</v>
      </c>
      <c r="G96" s="308">
        <f>F96-E96</f>
        <v>1500</v>
      </c>
      <c r="H96" s="116"/>
      <c r="I96" s="52"/>
      <c r="J96" s="452"/>
      <c r="K96" s="53"/>
      <c r="L96" s="53"/>
      <c r="M96" s="452"/>
      <c r="N96" s="452"/>
      <c r="O96" s="452"/>
      <c r="P96" s="450"/>
      <c r="Q96" s="450"/>
      <c r="R96" s="452"/>
      <c r="S96" s="452"/>
      <c r="T96" s="452"/>
      <c r="U96" s="452"/>
      <c r="V96" s="573"/>
      <c r="W96" s="452"/>
      <c r="X96" s="96"/>
    </row>
    <row r="97" spans="1:24" ht="20.25" customHeight="1">
      <c r="A97" s="113"/>
      <c r="B97" s="93"/>
      <c r="C97" s="1052"/>
      <c r="D97" s="1051" t="s">
        <v>52</v>
      </c>
      <c r="E97" s="68">
        <v>1000</v>
      </c>
      <c r="F97" s="68">
        <v>2500</v>
      </c>
      <c r="G97" s="309">
        <f>F97-E97</f>
        <v>1500</v>
      </c>
      <c r="H97" s="874" t="s">
        <v>620</v>
      </c>
      <c r="I97" s="431">
        <v>100000</v>
      </c>
      <c r="J97" s="380"/>
      <c r="K97" s="884"/>
      <c r="L97" s="379" t="s">
        <v>606</v>
      </c>
      <c r="M97" s="380"/>
      <c r="N97" s="1064">
        <v>5</v>
      </c>
      <c r="O97" s="1064"/>
      <c r="P97" s="1065" t="s">
        <v>607</v>
      </c>
      <c r="Q97" s="1065"/>
      <c r="R97" s="380"/>
      <c r="S97" s="887"/>
      <c r="T97" s="380"/>
      <c r="U97" s="380" t="s">
        <v>621</v>
      </c>
      <c r="V97" s="106"/>
      <c r="W97" s="106"/>
      <c r="X97" s="103">
        <f>SUM(I97*N97)</f>
        <v>500000</v>
      </c>
    </row>
    <row r="98" spans="1:24" ht="20.25" customHeight="1">
      <c r="A98" s="113"/>
      <c r="B98" s="93"/>
      <c r="C98" s="574"/>
      <c r="D98" s="1053"/>
      <c r="E98" s="69"/>
      <c r="F98" s="69"/>
      <c r="G98" s="474"/>
      <c r="H98" s="887" t="s">
        <v>622</v>
      </c>
      <c r="I98" s="887"/>
      <c r="J98" s="887"/>
      <c r="K98" s="887"/>
      <c r="L98" s="887"/>
      <c r="M98" s="887"/>
      <c r="N98" s="887"/>
      <c r="O98" s="887"/>
      <c r="P98" s="887"/>
      <c r="Q98" s="887"/>
      <c r="R98" s="887"/>
      <c r="S98" s="887"/>
      <c r="T98" s="887"/>
      <c r="U98" s="887"/>
      <c r="V98" s="887"/>
      <c r="W98" s="887"/>
      <c r="X98" s="103">
        <v>2000000</v>
      </c>
    </row>
    <row r="99" spans="1:24" ht="20.25" customHeight="1">
      <c r="A99" s="113"/>
      <c r="B99" s="93"/>
      <c r="C99" s="574"/>
      <c r="D99" s="1051" t="s">
        <v>51</v>
      </c>
      <c r="E99" s="68">
        <v>12000</v>
      </c>
      <c r="F99" s="68">
        <f>X99/1000</f>
        <v>12000</v>
      </c>
      <c r="G99" s="295">
        <f>F99-E99</f>
        <v>0</v>
      </c>
      <c r="H99" s="888" t="s">
        <v>623</v>
      </c>
      <c r="I99" s="463">
        <v>50000</v>
      </c>
      <c r="J99" s="870" t="s">
        <v>606</v>
      </c>
      <c r="K99" s="1063">
        <v>20</v>
      </c>
      <c r="L99" s="1063"/>
      <c r="M99" s="870" t="s">
        <v>607</v>
      </c>
      <c r="N99" s="870" t="s">
        <v>606</v>
      </c>
      <c r="O99" s="870"/>
      <c r="P99" s="1066">
        <v>12</v>
      </c>
      <c r="Q99" s="1066"/>
      <c r="R99" s="1061" t="s">
        <v>624</v>
      </c>
      <c r="S99" s="1061"/>
      <c r="T99" s="870"/>
      <c r="U99" s="872" t="s">
        <v>609</v>
      </c>
      <c r="V99" s="872"/>
      <c r="W99" s="539"/>
      <c r="X99" s="486">
        <f>I99*K99*P99</f>
        <v>12000000</v>
      </c>
    </row>
    <row r="100" spans="1:24" ht="20.25" customHeight="1" thickBot="1">
      <c r="A100" s="121"/>
      <c r="B100" s="491"/>
      <c r="C100" s="459"/>
      <c r="D100" s="1054"/>
      <c r="E100" s="109"/>
      <c r="F100" s="109"/>
      <c r="G100" s="225"/>
      <c r="H100" s="477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487"/>
    </row>
    <row r="101" spans="1:24" ht="358.5" customHeight="1" thickBot="1">
      <c r="A101" s="401"/>
      <c r="B101" s="402"/>
      <c r="C101" s="402"/>
      <c r="D101" s="402"/>
      <c r="E101" s="403"/>
      <c r="F101" s="403"/>
      <c r="G101" s="404"/>
      <c r="H101" s="40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19"/>
    </row>
    <row r="102" spans="1:24" ht="18" customHeight="1" hidden="1">
      <c r="A102" s="399"/>
      <c r="B102" s="120"/>
      <c r="C102" s="120"/>
      <c r="D102" s="120"/>
      <c r="E102" s="120"/>
      <c r="F102" s="1"/>
      <c r="G102" s="226"/>
      <c r="H102" s="1"/>
      <c r="I102" s="1"/>
      <c r="J102" s="1"/>
      <c r="K102" s="1"/>
      <c r="L102" s="1057">
        <v>16</v>
      </c>
      <c r="M102" s="105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18"/>
    </row>
    <row r="103" spans="1:24" ht="18" customHeight="1" hidden="1" thickBot="1">
      <c r="A103" s="400"/>
      <c r="B103" s="8"/>
      <c r="C103" s="8"/>
      <c r="D103" s="8"/>
      <c r="E103" s="8"/>
      <c r="F103" s="7"/>
      <c r="G103" s="227"/>
      <c r="H103" s="7"/>
      <c r="I103" s="7"/>
      <c r="J103" s="7"/>
      <c r="K103" s="7"/>
      <c r="L103" s="1057">
        <v>17</v>
      </c>
      <c r="M103" s="105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19"/>
    </row>
    <row r="104" spans="1:24" ht="18" customHeight="1" hidden="1">
      <c r="A104" s="2"/>
      <c r="B104" s="2"/>
      <c r="C104" s="2"/>
      <c r="D104" s="2"/>
      <c r="E104" s="2"/>
      <c r="F104" s="2"/>
      <c r="G104" s="228"/>
      <c r="H104" s="2"/>
      <c r="I104" s="2"/>
      <c r="J104" s="2"/>
      <c r="K104" s="2"/>
      <c r="L104" s="1057">
        <v>19</v>
      </c>
      <c r="M104" s="1057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8" customHeight="1" hidden="1">
      <c r="A105" s="2"/>
      <c r="B105" s="2"/>
      <c r="C105" s="2"/>
      <c r="D105" s="2"/>
      <c r="E105" s="2"/>
      <c r="F105" s="2"/>
      <c r="G105" s="228"/>
      <c r="H105" s="2"/>
      <c r="I105" s="2"/>
      <c r="J105" s="2"/>
      <c r="K105" s="2"/>
      <c r="L105" s="1056">
        <v>21</v>
      </c>
      <c r="M105" s="105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3.5" hidden="1">
      <c r="A106" s="2"/>
      <c r="B106" s="2"/>
      <c r="C106" s="2"/>
      <c r="D106" s="2"/>
      <c r="E106" s="2"/>
      <c r="F106" s="2"/>
      <c r="G106" s="22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3.5" hidden="1">
      <c r="A107" s="2"/>
      <c r="B107" s="2"/>
      <c r="C107" s="2"/>
      <c r="D107" s="2"/>
      <c r="E107" s="2"/>
      <c r="F107" s="2"/>
      <c r="G107" s="22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3.5" hidden="1">
      <c r="A108" s="2"/>
      <c r="B108" s="2"/>
      <c r="C108" s="2"/>
      <c r="D108" s="2"/>
      <c r="E108" s="2"/>
      <c r="F108" s="2"/>
      <c r="G108" s="22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mergeCells count="107">
    <mergeCell ref="D71:D72"/>
    <mergeCell ref="N71:O71"/>
    <mergeCell ref="P71:Q71"/>
    <mergeCell ref="C49:C50"/>
    <mergeCell ref="D50:D51"/>
    <mergeCell ref="C73:C74"/>
    <mergeCell ref="C70:C71"/>
    <mergeCell ref="K46:L46"/>
    <mergeCell ref="D58:D59"/>
    <mergeCell ref="D47:D48"/>
    <mergeCell ref="K48:L48"/>
    <mergeCell ref="K47:L47"/>
    <mergeCell ref="D24:D25"/>
    <mergeCell ref="I28:R28"/>
    <mergeCell ref="I29:R29"/>
    <mergeCell ref="K30:L30"/>
    <mergeCell ref="A52:A53"/>
    <mergeCell ref="B53:B54"/>
    <mergeCell ref="D40:D41"/>
    <mergeCell ref="D42:D43"/>
    <mergeCell ref="D34:D35"/>
    <mergeCell ref="P44:X44"/>
    <mergeCell ref="I32:R32"/>
    <mergeCell ref="K38:L38"/>
    <mergeCell ref="K45:L45"/>
    <mergeCell ref="D44:D45"/>
    <mergeCell ref="C32:C33"/>
    <mergeCell ref="B32:B33"/>
    <mergeCell ref="A32:A33"/>
    <mergeCell ref="I51:S51"/>
    <mergeCell ref="I14:S14"/>
    <mergeCell ref="I16:S16"/>
    <mergeCell ref="I17:S17"/>
    <mergeCell ref="V13:X13"/>
    <mergeCell ref="A1:X1"/>
    <mergeCell ref="H12:I12"/>
    <mergeCell ref="A5:A6"/>
    <mergeCell ref="B6:B7"/>
    <mergeCell ref="C7:C8"/>
    <mergeCell ref="D8:D9"/>
    <mergeCell ref="A10:A11"/>
    <mergeCell ref="B11:B12"/>
    <mergeCell ref="A4:D4"/>
    <mergeCell ref="H8:U8"/>
    <mergeCell ref="A2:C2"/>
    <mergeCell ref="H7:K7"/>
    <mergeCell ref="H3:X3"/>
    <mergeCell ref="C12:C13"/>
    <mergeCell ref="D13:D14"/>
    <mergeCell ref="I13:S13"/>
    <mergeCell ref="I15:S15"/>
    <mergeCell ref="I21:S21"/>
    <mergeCell ref="I18:S18"/>
    <mergeCell ref="I19:S19"/>
    <mergeCell ref="I22:S22"/>
    <mergeCell ref="V15:X15"/>
    <mergeCell ref="I23:S23"/>
    <mergeCell ref="I24:S24"/>
    <mergeCell ref="I26:R26"/>
    <mergeCell ref="I20:S20"/>
    <mergeCell ref="L105:M105"/>
    <mergeCell ref="K36:L36"/>
    <mergeCell ref="K34:L34"/>
    <mergeCell ref="N58:O58"/>
    <mergeCell ref="K42:L42"/>
    <mergeCell ref="R99:S99"/>
    <mergeCell ref="P55:Q55"/>
    <mergeCell ref="K99:L99"/>
    <mergeCell ref="N97:O97"/>
    <mergeCell ref="N55:O55"/>
    <mergeCell ref="K40:L40"/>
    <mergeCell ref="P97:Q97"/>
    <mergeCell ref="P99:Q99"/>
    <mergeCell ref="P58:Q58"/>
    <mergeCell ref="H44:M44"/>
    <mergeCell ref="L102:M102"/>
    <mergeCell ref="L103:M103"/>
    <mergeCell ref="L104:M104"/>
    <mergeCell ref="P95:X95"/>
    <mergeCell ref="H80:M80"/>
    <mergeCell ref="H82:I82"/>
    <mergeCell ref="N74:O74"/>
    <mergeCell ref="P74:Q74"/>
    <mergeCell ref="C90:C91"/>
    <mergeCell ref="D91:D92"/>
    <mergeCell ref="D28:D29"/>
    <mergeCell ref="D99:D100"/>
    <mergeCell ref="C93:C94"/>
    <mergeCell ref="D36:D37"/>
    <mergeCell ref="C54:C55"/>
    <mergeCell ref="D55:D56"/>
    <mergeCell ref="D32:D33"/>
    <mergeCell ref="C78:C79"/>
    <mergeCell ref="C96:C97"/>
    <mergeCell ref="D97:D98"/>
    <mergeCell ref="D81:D82"/>
    <mergeCell ref="D83:D84"/>
    <mergeCell ref="C62:C63"/>
    <mergeCell ref="C57:C58"/>
    <mergeCell ref="D79:D80"/>
    <mergeCell ref="C85:C86"/>
    <mergeCell ref="D63:D64"/>
    <mergeCell ref="C65:C66"/>
    <mergeCell ref="D66:D67"/>
    <mergeCell ref="D94:D95"/>
    <mergeCell ref="D86:D87"/>
    <mergeCell ref="D74:D75"/>
  </mergeCells>
  <printOptions/>
  <pageMargins left="0.5905511811023623" right="0.3937007874015748" top="0.5511811023622047" bottom="0.31496062992125984" header="0.5905511811023623" footer="0.15748031496062992"/>
  <pageSetup horizontalDpi="600" verticalDpi="600" orientation="landscape" paperSize="9" scale="80" r:id="rId1"/>
  <rowBreaks count="3" manualBreakCount="3">
    <brk id="31" max="16383" man="1"/>
    <brk id="59" max="16383" man="1"/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02"/>
  <sheetViews>
    <sheetView zoomScaleSheetLayoutView="110" workbookViewId="0" topLeftCell="A1">
      <selection activeCell="F26" sqref="F26"/>
    </sheetView>
  </sheetViews>
  <sheetFormatPr defaultColWidth="8.88671875" defaultRowHeight="13.5"/>
  <cols>
    <col min="1" max="1" width="8.21484375" style="0" customWidth="1"/>
    <col min="2" max="2" width="8.6640625" style="0" customWidth="1"/>
    <col min="3" max="3" width="7.77734375" style="0" customWidth="1"/>
    <col min="4" max="4" width="10.77734375" style="0" customWidth="1"/>
    <col min="5" max="6" width="14.4453125" style="0" customWidth="1"/>
    <col min="7" max="7" width="13.5546875" style="0" customWidth="1"/>
    <col min="8" max="8" width="21.21484375" style="0" customWidth="1"/>
    <col min="9" max="9" width="11.4453125" style="0" customWidth="1"/>
    <col min="10" max="10" width="2.10546875" style="0" customWidth="1"/>
    <col min="11" max="11" width="2.77734375" style="0" customWidth="1"/>
    <col min="12" max="12" width="2.4453125" style="0" customWidth="1"/>
    <col min="13" max="13" width="3.4453125" style="0" customWidth="1"/>
    <col min="14" max="14" width="3.10546875" style="0" customWidth="1"/>
    <col min="15" max="15" width="2.77734375" style="0" customWidth="1"/>
    <col min="16" max="16" width="2.99609375" style="0" customWidth="1"/>
    <col min="17" max="17" width="2.88671875" style="0" customWidth="1"/>
    <col min="18" max="18" width="2.4453125" style="0" customWidth="1"/>
    <col min="19" max="19" width="0.671875" style="0" customWidth="1"/>
    <col min="20" max="20" width="2.10546875" style="0" customWidth="1"/>
    <col min="21" max="21" width="2.21484375" style="0" customWidth="1"/>
    <col min="22" max="22" width="1.88671875" style="0" customWidth="1"/>
    <col min="23" max="23" width="1.99609375" style="0" customWidth="1"/>
    <col min="24" max="24" width="12.21484375" style="0" customWidth="1"/>
  </cols>
  <sheetData>
    <row r="1" spans="1:24" s="5" customFormat="1" ht="30" customHeight="1">
      <c r="A1" s="1082" t="s">
        <v>784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  <c r="S1" s="1082"/>
      <c r="T1" s="1082"/>
      <c r="U1" s="1082"/>
      <c r="V1" s="1082"/>
      <c r="W1" s="1082"/>
      <c r="X1" s="1082"/>
    </row>
    <row r="2" spans="1:24" s="5" customFormat="1" ht="18.75" customHeight="1" thickBot="1">
      <c r="A2" s="1114"/>
      <c r="B2" s="1114"/>
      <c r="C2" s="1114"/>
      <c r="D2" s="795"/>
      <c r="E2" s="96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48" t="s">
        <v>127</v>
      </c>
    </row>
    <row r="3" spans="1:24" ht="30.75" customHeight="1" thickBot="1">
      <c r="A3" s="104" t="s">
        <v>434</v>
      </c>
      <c r="B3" s="826" t="s">
        <v>435</v>
      </c>
      <c r="C3" s="826" t="s">
        <v>2</v>
      </c>
      <c r="D3" s="993" t="s">
        <v>10</v>
      </c>
      <c r="E3" s="475" t="s">
        <v>790</v>
      </c>
      <c r="F3" s="307" t="s">
        <v>791</v>
      </c>
      <c r="G3" s="304" t="s">
        <v>792</v>
      </c>
      <c r="H3" s="1100" t="s">
        <v>783</v>
      </c>
      <c r="I3" s="1100"/>
      <c r="J3" s="1100"/>
      <c r="K3" s="1100"/>
      <c r="L3" s="1100"/>
      <c r="M3" s="1100"/>
      <c r="N3" s="1100"/>
      <c r="O3" s="1100"/>
      <c r="P3" s="1100"/>
      <c r="Q3" s="1100"/>
      <c r="R3" s="1100"/>
      <c r="S3" s="1100"/>
      <c r="T3" s="1100"/>
      <c r="U3" s="1100"/>
      <c r="V3" s="1100"/>
      <c r="W3" s="1100"/>
      <c r="X3" s="1101"/>
    </row>
    <row r="4" spans="1:24" s="6" customFormat="1" ht="30" customHeight="1" thickBot="1">
      <c r="A4" s="1115" t="s">
        <v>13</v>
      </c>
      <c r="B4" s="1116"/>
      <c r="C4" s="1116"/>
      <c r="D4" s="1116"/>
      <c r="E4" s="1015">
        <v>1067200</v>
      </c>
      <c r="F4" s="603">
        <f>SUM(F5,F93,F116,F275,F283,F293,F288)</f>
        <v>1077969</v>
      </c>
      <c r="G4" s="604">
        <f>F4-E4</f>
        <v>10769</v>
      </c>
      <c r="H4" s="605" t="s">
        <v>789</v>
      </c>
      <c r="I4" s="606"/>
      <c r="J4" s="607"/>
      <c r="K4" s="608"/>
      <c r="L4" s="608"/>
      <c r="M4" s="607"/>
      <c r="N4" s="607"/>
      <c r="O4" s="607"/>
      <c r="P4" s="609"/>
      <c r="Q4" s="609"/>
      <c r="R4" s="607"/>
      <c r="S4" s="607"/>
      <c r="T4" s="607"/>
      <c r="U4" s="607"/>
      <c r="V4" s="607"/>
      <c r="W4" s="610"/>
      <c r="X4" s="611"/>
    </row>
    <row r="5" spans="1:24" ht="20.25" customHeight="1">
      <c r="A5" s="290" t="s">
        <v>45</v>
      </c>
      <c r="B5" s="323"/>
      <c r="C5" s="82"/>
      <c r="D5" s="994"/>
      <c r="E5" s="194">
        <v>846656</v>
      </c>
      <c r="F5" s="194">
        <f>SUM(F6,F49,F57)</f>
        <v>838582</v>
      </c>
      <c r="G5" s="322">
        <f>F5-E5</f>
        <v>-8074</v>
      </c>
      <c r="H5" s="84"/>
      <c r="I5" s="85"/>
      <c r="J5" s="86"/>
      <c r="K5" s="286"/>
      <c r="L5" s="286"/>
      <c r="M5" s="86"/>
      <c r="N5" s="86"/>
      <c r="O5" s="86"/>
      <c r="P5" s="126"/>
      <c r="Q5" s="126"/>
      <c r="R5" s="86"/>
      <c r="S5" s="86"/>
      <c r="T5" s="86"/>
      <c r="U5" s="86"/>
      <c r="V5" s="86"/>
      <c r="W5" s="89"/>
      <c r="X5" s="287"/>
    </row>
    <row r="6" spans="1:24" ht="18.75" customHeight="1">
      <c r="A6" s="54"/>
      <c r="B6" s="799" t="s">
        <v>46</v>
      </c>
      <c r="C6" s="55"/>
      <c r="D6" s="995"/>
      <c r="E6" s="73">
        <v>795720</v>
      </c>
      <c r="F6" s="107">
        <f>SUM(F7,F10,F27,F30,F33,F44)</f>
        <v>802744</v>
      </c>
      <c r="G6" s="313">
        <f>F6-E6</f>
        <v>7024</v>
      </c>
      <c r="H6" s="58"/>
      <c r="I6" s="59"/>
      <c r="J6" s="796"/>
      <c r="K6" s="60"/>
      <c r="L6" s="60"/>
      <c r="M6" s="796"/>
      <c r="N6" s="796"/>
      <c r="O6" s="796"/>
      <c r="P6" s="61"/>
      <c r="Q6" s="61"/>
      <c r="R6" s="796"/>
      <c r="S6" s="796"/>
      <c r="T6" s="796"/>
      <c r="U6" s="796"/>
      <c r="V6" s="796"/>
      <c r="W6" s="62"/>
      <c r="X6" s="101"/>
    </row>
    <row r="7" spans="1:24" ht="18.75" customHeight="1">
      <c r="A7" s="92"/>
      <c r="B7" s="525"/>
      <c r="C7" s="77" t="s">
        <v>47</v>
      </c>
      <c r="D7" s="995"/>
      <c r="E7" s="73">
        <v>482729</v>
      </c>
      <c r="F7" s="107">
        <f>F8</f>
        <v>485168</v>
      </c>
      <c r="G7" s="313">
        <f>F7-E7</f>
        <v>2439</v>
      </c>
      <c r="H7" s="1117"/>
      <c r="I7" s="1059"/>
      <c r="J7" s="785"/>
      <c r="K7" s="105"/>
      <c r="L7" s="105"/>
      <c r="M7" s="785"/>
      <c r="N7" s="785"/>
      <c r="O7" s="785"/>
      <c r="P7" s="501"/>
      <c r="Q7" s="501"/>
      <c r="R7" s="785"/>
      <c r="S7" s="785"/>
      <c r="T7" s="785"/>
      <c r="U7" s="785"/>
      <c r="V7" s="785"/>
      <c r="W7" s="813"/>
      <c r="X7" s="486"/>
    </row>
    <row r="8" spans="1:24" ht="19.5" customHeight="1">
      <c r="A8" s="54"/>
      <c r="B8" s="378"/>
      <c r="C8" s="525"/>
      <c r="D8" s="975" t="s">
        <v>48</v>
      </c>
      <c r="E8" s="68">
        <v>482729</v>
      </c>
      <c r="F8" s="68">
        <v>485168</v>
      </c>
      <c r="G8" s="314">
        <f>F8-E8</f>
        <v>2439</v>
      </c>
      <c r="H8" s="891" t="s">
        <v>626</v>
      </c>
      <c r="I8" s="892"/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1080">
        <v>485168610</v>
      </c>
      <c r="W8" s="1080"/>
      <c r="X8" s="1081"/>
    </row>
    <row r="9" spans="1:24" ht="17.25" customHeight="1">
      <c r="A9" s="54"/>
      <c r="B9" s="378"/>
      <c r="C9" s="56"/>
      <c r="D9" s="975"/>
      <c r="E9" s="69"/>
      <c r="F9" s="69"/>
      <c r="G9" s="314"/>
      <c r="H9" s="465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88"/>
    </row>
    <row r="10" spans="1:24" ht="18" customHeight="1">
      <c r="A10" s="54"/>
      <c r="B10" s="378"/>
      <c r="C10" s="1051" t="s">
        <v>437</v>
      </c>
      <c r="D10" s="996"/>
      <c r="E10" s="107">
        <v>196013</v>
      </c>
      <c r="F10" s="107">
        <f>F11+F13+F15+F17+F19+F21+F23+F25</f>
        <v>196028</v>
      </c>
      <c r="G10" s="313">
        <f>F10-E10</f>
        <v>15</v>
      </c>
      <c r="H10" s="200"/>
      <c r="I10" s="127"/>
      <c r="J10" s="128"/>
      <c r="K10" s="94"/>
      <c r="L10" s="94"/>
      <c r="M10" s="128"/>
      <c r="N10" s="128"/>
      <c r="O10" s="128"/>
      <c r="P10" s="129"/>
      <c r="Q10" s="129"/>
      <c r="R10" s="128"/>
      <c r="S10" s="128"/>
      <c r="T10" s="128"/>
      <c r="U10" s="796"/>
      <c r="V10" s="796"/>
      <c r="W10" s="62"/>
      <c r="X10" s="101"/>
    </row>
    <row r="11" spans="1:24" ht="18.75" customHeight="1">
      <c r="A11" s="54"/>
      <c r="B11" s="378"/>
      <c r="C11" s="1052"/>
      <c r="D11" s="1118" t="s">
        <v>438</v>
      </c>
      <c r="E11" s="68">
        <v>48083</v>
      </c>
      <c r="F11" s="68">
        <v>46868</v>
      </c>
      <c r="G11" s="315">
        <f>F11-E11</f>
        <v>-1215</v>
      </c>
      <c r="H11" s="1120" t="s">
        <v>627</v>
      </c>
      <c r="I11" s="1121"/>
      <c r="J11" s="1121"/>
      <c r="K11" s="1121"/>
      <c r="L11" s="1121"/>
      <c r="M11" s="1121"/>
      <c r="N11" s="1121"/>
      <c r="O11" s="1121"/>
      <c r="P11" s="1121"/>
      <c r="Q11" s="1121"/>
      <c r="R11" s="1121"/>
      <c r="S11" s="1121"/>
      <c r="T11" s="1121"/>
      <c r="U11" s="1121"/>
      <c r="V11" s="1121"/>
      <c r="W11" s="106"/>
      <c r="X11" s="103">
        <v>46868400</v>
      </c>
    </row>
    <row r="12" spans="1:24" ht="15.75" customHeight="1">
      <c r="A12" s="92"/>
      <c r="B12" s="378"/>
      <c r="C12" s="525"/>
      <c r="D12" s="1119"/>
      <c r="E12" s="73"/>
      <c r="F12" s="73"/>
      <c r="G12" s="57"/>
      <c r="H12" s="427"/>
      <c r="I12" s="522"/>
      <c r="J12" s="1122"/>
      <c r="K12" s="1122"/>
      <c r="L12" s="1122"/>
      <c r="M12" s="1122"/>
      <c r="N12" s="1122"/>
      <c r="O12" s="829"/>
      <c r="P12" s="1123"/>
      <c r="Q12" s="1123"/>
      <c r="R12" s="452"/>
      <c r="S12" s="452"/>
      <c r="T12" s="452"/>
      <c r="U12" s="452"/>
      <c r="V12" s="452"/>
      <c r="W12" s="814"/>
      <c r="X12" s="96"/>
    </row>
    <row r="13" spans="1:24" ht="23.25" customHeight="1">
      <c r="A13" s="92"/>
      <c r="B13" s="525"/>
      <c r="C13" s="133"/>
      <c r="D13" s="1124" t="s">
        <v>439</v>
      </c>
      <c r="E13" s="68">
        <v>110490</v>
      </c>
      <c r="F13" s="68">
        <v>126560</v>
      </c>
      <c r="G13" s="316">
        <f>F13-E13</f>
        <v>16070</v>
      </c>
      <c r="H13" s="887" t="s">
        <v>793</v>
      </c>
      <c r="I13" s="865"/>
      <c r="J13" s="865"/>
      <c r="K13" s="865"/>
      <c r="L13" s="865"/>
      <c r="M13" s="865"/>
      <c r="N13" s="865"/>
      <c r="O13" s="865"/>
      <c r="P13" s="865"/>
      <c r="Q13" s="865"/>
      <c r="R13" s="865"/>
      <c r="S13" s="865"/>
      <c r="T13" s="865"/>
      <c r="U13" s="865"/>
      <c r="V13" s="865"/>
      <c r="W13" s="1080">
        <v>126559830</v>
      </c>
      <c r="X13" s="1081"/>
    </row>
    <row r="14" spans="1:24" ht="18" customHeight="1">
      <c r="A14" s="92"/>
      <c r="B14" s="525"/>
      <c r="C14" s="816"/>
      <c r="D14" s="1125"/>
      <c r="E14" s="69"/>
      <c r="F14" s="73"/>
      <c r="G14" s="63"/>
      <c r="H14" s="800"/>
      <c r="I14" s="794"/>
      <c r="J14" s="827"/>
      <c r="K14" s="792"/>
      <c r="L14" s="792"/>
      <c r="M14" s="827"/>
      <c r="N14" s="453"/>
      <c r="O14" s="827"/>
      <c r="P14" s="827"/>
      <c r="Q14" s="71"/>
      <c r="R14" s="832"/>
      <c r="S14" s="72"/>
      <c r="T14" s="827"/>
      <c r="U14" s="283"/>
      <c r="V14" s="827"/>
      <c r="W14" s="827"/>
      <c r="X14" s="95"/>
    </row>
    <row r="15" spans="1:24" ht="16.5" customHeight="1">
      <c r="A15" s="92"/>
      <c r="B15" s="525"/>
      <c r="C15" s="816"/>
      <c r="D15" s="1124" t="s">
        <v>440</v>
      </c>
      <c r="E15" s="68">
        <v>4800</v>
      </c>
      <c r="F15" s="68">
        <v>6280</v>
      </c>
      <c r="G15" s="317">
        <f>F15-E15</f>
        <v>1480</v>
      </c>
      <c r="H15" s="1126" t="s">
        <v>796</v>
      </c>
      <c r="I15" s="1127"/>
      <c r="J15" s="1127"/>
      <c r="K15" s="1127"/>
      <c r="L15" s="1127"/>
      <c r="M15" s="1127"/>
      <c r="N15" s="1127"/>
      <c r="O15" s="1127"/>
      <c r="P15" s="1127"/>
      <c r="Q15" s="1127"/>
      <c r="R15" s="1127"/>
      <c r="S15" s="1127"/>
      <c r="T15" s="1127"/>
      <c r="U15" s="1127"/>
      <c r="V15" s="1127"/>
      <c r="W15" s="464"/>
      <c r="X15" s="486">
        <v>6280000</v>
      </c>
    </row>
    <row r="16" spans="1:24" ht="16.5" customHeight="1">
      <c r="A16" s="54"/>
      <c r="B16" s="378"/>
      <c r="C16" s="816"/>
      <c r="D16" s="1125"/>
      <c r="E16" s="73"/>
      <c r="F16" s="73"/>
      <c r="G16" s="57"/>
      <c r="H16" s="427"/>
      <c r="I16" s="808"/>
      <c r="J16" s="829"/>
      <c r="K16" s="1128"/>
      <c r="L16" s="1128"/>
      <c r="M16" s="824"/>
      <c r="N16" s="824"/>
      <c r="O16" s="824"/>
      <c r="P16" s="1128"/>
      <c r="Q16" s="1128"/>
      <c r="R16" s="1128"/>
      <c r="S16" s="1128"/>
      <c r="T16" s="824"/>
      <c r="U16" s="808"/>
      <c r="V16" s="808"/>
      <c r="W16" s="52"/>
      <c r="X16" s="96">
        <f>I16*K16*P16</f>
        <v>0</v>
      </c>
    </row>
    <row r="17" spans="1:24" ht="16.5" customHeight="1">
      <c r="A17" s="54"/>
      <c r="B17" s="378"/>
      <c r="C17" s="816"/>
      <c r="D17" s="1124" t="s">
        <v>441</v>
      </c>
      <c r="E17" s="69"/>
      <c r="F17" s="69"/>
      <c r="G17" s="318">
        <f>F17-E17</f>
        <v>0</v>
      </c>
      <c r="H17" s="807"/>
      <c r="I17" s="1134"/>
      <c r="J17" s="1134"/>
      <c r="K17" s="1134"/>
      <c r="L17" s="1134"/>
      <c r="M17" s="1134"/>
      <c r="N17" s="1134"/>
      <c r="O17" s="1134"/>
      <c r="P17" s="1134"/>
      <c r="Q17" s="1134"/>
      <c r="R17" s="1134"/>
      <c r="S17" s="1134"/>
      <c r="T17" s="820"/>
      <c r="U17" s="794"/>
      <c r="V17" s="794"/>
      <c r="W17" s="66"/>
      <c r="X17" s="536"/>
    </row>
    <row r="18" spans="1:24" ht="16.5" customHeight="1">
      <c r="A18" s="54"/>
      <c r="B18" s="378"/>
      <c r="C18" s="816"/>
      <c r="D18" s="1125"/>
      <c r="E18" s="73"/>
      <c r="F18" s="73"/>
      <c r="G18" s="57"/>
      <c r="H18" s="427"/>
      <c r="I18" s="808"/>
      <c r="J18" s="829"/>
      <c r="K18" s="1128"/>
      <c r="L18" s="1128"/>
      <c r="M18" s="1128"/>
      <c r="N18" s="1128"/>
      <c r="O18" s="824"/>
      <c r="P18" s="824"/>
      <c r="Q18" s="824"/>
      <c r="R18" s="824"/>
      <c r="S18" s="824"/>
      <c r="T18" s="824"/>
      <c r="U18" s="808"/>
      <c r="V18" s="808"/>
      <c r="W18" s="52"/>
      <c r="X18" s="833"/>
    </row>
    <row r="19" spans="1:24" ht="16.5" customHeight="1">
      <c r="A19" s="54"/>
      <c r="B19" s="378"/>
      <c r="C19" s="816"/>
      <c r="D19" s="1129" t="s">
        <v>442</v>
      </c>
      <c r="E19" s="69">
        <v>24000</v>
      </c>
      <c r="F19" s="69">
        <v>12000</v>
      </c>
      <c r="G19" s="318">
        <f>F19-E19</f>
        <v>-12000</v>
      </c>
      <c r="H19" s="893" t="s">
        <v>613</v>
      </c>
      <c r="I19" s="246">
        <v>100000</v>
      </c>
      <c r="J19" s="379" t="s">
        <v>603</v>
      </c>
      <c r="K19" s="1135">
        <v>20</v>
      </c>
      <c r="L19" s="1135"/>
      <c r="M19" s="455" t="s">
        <v>604</v>
      </c>
      <c r="N19" s="455" t="s">
        <v>603</v>
      </c>
      <c r="O19" s="455"/>
      <c r="P19" s="1135">
        <v>6</v>
      </c>
      <c r="Q19" s="1135"/>
      <c r="R19" s="1135"/>
      <c r="S19" s="1135"/>
      <c r="T19" s="455"/>
      <c r="U19" s="246" t="s">
        <v>615</v>
      </c>
      <c r="V19" s="246"/>
      <c r="W19" s="431"/>
      <c r="X19" s="103">
        <v>12000000</v>
      </c>
    </row>
    <row r="20" spans="1:24" ht="16.5" customHeight="1">
      <c r="A20" s="54"/>
      <c r="B20" s="378"/>
      <c r="C20" s="816"/>
      <c r="D20" s="1125"/>
      <c r="E20" s="73"/>
      <c r="F20" s="73"/>
      <c r="G20" s="57"/>
      <c r="H20" s="894"/>
      <c r="I20" s="895"/>
      <c r="J20" s="895"/>
      <c r="K20" s="895"/>
      <c r="L20" s="895"/>
      <c r="M20" s="895"/>
      <c r="N20" s="895"/>
      <c r="O20" s="895"/>
      <c r="P20" s="895"/>
      <c r="Q20" s="895"/>
      <c r="R20" s="895"/>
      <c r="S20" s="895"/>
      <c r="T20" s="895"/>
      <c r="U20" s="895"/>
      <c r="V20" s="895"/>
      <c r="W20" s="895"/>
      <c r="X20" s="896"/>
    </row>
    <row r="21" spans="1:24" ht="16.5" customHeight="1">
      <c r="A21" s="54"/>
      <c r="B21" s="378"/>
      <c r="C21" s="816"/>
      <c r="D21" s="1130" t="s">
        <v>443</v>
      </c>
      <c r="E21" s="68">
        <v>8640</v>
      </c>
      <c r="F21" s="69">
        <v>4320</v>
      </c>
      <c r="G21" s="317">
        <f>F21-E21</f>
        <v>-4320</v>
      </c>
      <c r="H21" s="461" t="s">
        <v>616</v>
      </c>
      <c r="I21" s="246">
        <v>40000</v>
      </c>
      <c r="J21" s="379" t="s">
        <v>603</v>
      </c>
      <c r="K21" s="1132">
        <v>18</v>
      </c>
      <c r="L21" s="1132"/>
      <c r="M21" s="455" t="s">
        <v>604</v>
      </c>
      <c r="N21" s="455" t="s">
        <v>603</v>
      </c>
      <c r="O21" s="455"/>
      <c r="P21" s="1132">
        <v>6</v>
      </c>
      <c r="Q21" s="1132"/>
      <c r="R21" s="455"/>
      <c r="S21" s="455"/>
      <c r="T21" s="455"/>
      <c r="U21" s="246" t="s">
        <v>615</v>
      </c>
      <c r="V21" s="246"/>
      <c r="W21" s="431"/>
      <c r="X21" s="103">
        <v>4320000</v>
      </c>
    </row>
    <row r="22" spans="1:24" ht="16.5" customHeight="1">
      <c r="A22" s="54"/>
      <c r="B22" s="378"/>
      <c r="C22" s="816"/>
      <c r="D22" s="1131"/>
      <c r="E22" s="73"/>
      <c r="F22" s="73"/>
      <c r="G22" s="57"/>
      <c r="H22" s="427"/>
      <c r="I22" s="808"/>
      <c r="J22" s="829"/>
      <c r="K22" s="824"/>
      <c r="L22" s="824"/>
      <c r="M22" s="824"/>
      <c r="N22" s="824"/>
      <c r="O22" s="824"/>
      <c r="P22" s="824"/>
      <c r="Q22" s="824"/>
      <c r="R22" s="824"/>
      <c r="S22" s="824"/>
      <c r="T22" s="824"/>
      <c r="U22" s="808"/>
      <c r="V22" s="808"/>
      <c r="W22" s="52"/>
      <c r="X22" s="96"/>
    </row>
    <row r="23" spans="1:24" ht="16.5" customHeight="1">
      <c r="A23" s="54"/>
      <c r="B23" s="378"/>
      <c r="C23" s="816"/>
      <c r="D23" s="1129" t="s">
        <v>444</v>
      </c>
      <c r="E23" s="69"/>
      <c r="F23" s="69">
        <f>SUM(X23/1000)</f>
        <v>0</v>
      </c>
      <c r="G23" s="318">
        <f>F23-E23</f>
        <v>0</v>
      </c>
      <c r="H23" s="433"/>
      <c r="I23" s="794"/>
      <c r="J23" s="827"/>
      <c r="K23" s="1133"/>
      <c r="L23" s="1133"/>
      <c r="M23" s="820"/>
      <c r="N23" s="820"/>
      <c r="O23" s="820"/>
      <c r="P23" s="1133"/>
      <c r="Q23" s="1133"/>
      <c r="R23" s="820"/>
      <c r="S23" s="820"/>
      <c r="T23" s="820"/>
      <c r="U23" s="794"/>
      <c r="V23" s="794"/>
      <c r="W23" s="66"/>
      <c r="X23" s="95"/>
    </row>
    <row r="24" spans="1:24" ht="16.5" customHeight="1">
      <c r="A24" s="54"/>
      <c r="B24" s="378"/>
      <c r="C24" s="816"/>
      <c r="D24" s="1125"/>
      <c r="E24" s="73"/>
      <c r="F24" s="73"/>
      <c r="G24" s="57"/>
      <c r="H24" s="426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88"/>
    </row>
    <row r="25" spans="1:24" ht="16.5" customHeight="1">
      <c r="A25" s="54"/>
      <c r="B25" s="378"/>
      <c r="C25" s="816"/>
      <c r="D25" s="1130" t="s">
        <v>445</v>
      </c>
      <c r="E25" s="68"/>
      <c r="F25" s="69">
        <f>SUM(X25/1000)</f>
        <v>0</v>
      </c>
      <c r="G25" s="317">
        <f>F25-E25</f>
        <v>0</v>
      </c>
      <c r="H25" s="433"/>
      <c r="I25" s="794"/>
      <c r="J25" s="827"/>
      <c r="K25" s="1133"/>
      <c r="L25" s="1133"/>
      <c r="M25" s="820"/>
      <c r="N25" s="820"/>
      <c r="O25" s="820"/>
      <c r="P25" s="1133"/>
      <c r="Q25" s="1133"/>
      <c r="R25" s="820"/>
      <c r="S25" s="820"/>
      <c r="T25" s="820"/>
      <c r="U25" s="794"/>
      <c r="V25" s="794"/>
      <c r="W25" s="66"/>
      <c r="X25" s="95"/>
    </row>
    <row r="26" spans="1:24" ht="16.5" customHeight="1">
      <c r="A26" s="54"/>
      <c r="B26" s="378"/>
      <c r="C26" s="817"/>
      <c r="D26" s="1131"/>
      <c r="E26" s="73"/>
      <c r="F26" s="73"/>
      <c r="G26" s="57"/>
      <c r="H26" s="427"/>
      <c r="I26" s="808"/>
      <c r="J26" s="829"/>
      <c r="K26" s="824"/>
      <c r="L26" s="824"/>
      <c r="M26" s="824"/>
      <c r="N26" s="824"/>
      <c r="O26" s="824"/>
      <c r="P26" s="824"/>
      <c r="Q26" s="824"/>
      <c r="R26" s="824"/>
      <c r="S26" s="824"/>
      <c r="T26" s="824"/>
      <c r="U26" s="808"/>
      <c r="V26" s="808"/>
      <c r="W26" s="52"/>
      <c r="X26" s="96"/>
    </row>
    <row r="27" spans="1:24" ht="16.5" customHeight="1">
      <c r="A27" s="92"/>
      <c r="B27" s="378"/>
      <c r="C27" s="1051" t="s">
        <v>446</v>
      </c>
      <c r="D27" s="987"/>
      <c r="E27" s="73">
        <v>0</v>
      </c>
      <c r="F27" s="73">
        <f>F28</f>
        <v>0</v>
      </c>
      <c r="G27" s="57"/>
      <c r="H27" s="70"/>
      <c r="I27" s="808"/>
      <c r="J27" s="829"/>
      <c r="K27" s="789"/>
      <c r="L27" s="789"/>
      <c r="M27" s="829"/>
      <c r="N27" s="829"/>
      <c r="O27" s="829"/>
      <c r="P27" s="828"/>
      <c r="Q27" s="828"/>
      <c r="R27" s="452"/>
      <c r="S27" s="452"/>
      <c r="T27" s="452"/>
      <c r="U27" s="452"/>
      <c r="V27" s="452"/>
      <c r="W27" s="814"/>
      <c r="X27" s="96"/>
    </row>
    <row r="28" spans="1:24" ht="16.5" customHeight="1">
      <c r="A28" s="92"/>
      <c r="B28" s="378"/>
      <c r="C28" s="1052"/>
      <c r="D28" s="997" t="s">
        <v>447</v>
      </c>
      <c r="E28" s="68">
        <v>0</v>
      </c>
      <c r="F28" s="68">
        <v>0</v>
      </c>
      <c r="G28" s="317">
        <f>F28-E28</f>
        <v>0</v>
      </c>
      <c r="H28" s="1095" t="s">
        <v>448</v>
      </c>
      <c r="I28" s="1096"/>
      <c r="J28" s="1096"/>
      <c r="K28" s="1096"/>
      <c r="L28" s="1096"/>
      <c r="M28" s="1096"/>
      <c r="N28" s="1096"/>
      <c r="O28" s="1096"/>
      <c r="P28" s="1096"/>
      <c r="Q28" s="1096"/>
      <c r="R28" s="1096"/>
      <c r="S28" s="1096"/>
      <c r="T28" s="1096"/>
      <c r="U28" s="785"/>
      <c r="V28" s="785"/>
      <c r="W28" s="813"/>
      <c r="X28" s="74"/>
    </row>
    <row r="29" spans="1:24" ht="16.5" customHeight="1">
      <c r="A29" s="92"/>
      <c r="B29" s="378"/>
      <c r="C29" s="56"/>
      <c r="D29" s="984"/>
      <c r="E29" s="69"/>
      <c r="F29" s="69"/>
      <c r="G29" s="63"/>
      <c r="H29" s="454"/>
      <c r="I29" s="794"/>
      <c r="J29" s="827"/>
      <c r="K29" s="790"/>
      <c r="L29" s="790"/>
      <c r="M29" s="827"/>
      <c r="N29" s="827"/>
      <c r="O29" s="827"/>
      <c r="P29" s="507"/>
      <c r="Q29" s="507"/>
      <c r="R29" s="805"/>
      <c r="S29" s="805"/>
      <c r="T29" s="805"/>
      <c r="U29" s="805"/>
      <c r="V29" s="805"/>
      <c r="W29" s="814"/>
      <c r="X29" s="95"/>
    </row>
    <row r="30" spans="1:24" ht="18" customHeight="1">
      <c r="A30" s="134"/>
      <c r="B30" s="131"/>
      <c r="C30" s="1051" t="s">
        <v>449</v>
      </c>
      <c r="D30" s="996"/>
      <c r="E30" s="107">
        <v>53842</v>
      </c>
      <c r="F30" s="107">
        <f>F31</f>
        <v>56766</v>
      </c>
      <c r="G30" s="313">
        <f>F30-E30</f>
        <v>2924</v>
      </c>
      <c r="H30" s="821"/>
      <c r="I30" s="830"/>
      <c r="J30" s="818"/>
      <c r="K30" s="818"/>
      <c r="L30" s="818"/>
      <c r="M30" s="818"/>
      <c r="N30" s="818"/>
      <c r="O30" s="818"/>
      <c r="P30" s="818"/>
      <c r="Q30" s="818"/>
      <c r="R30" s="818"/>
      <c r="S30" s="818"/>
      <c r="T30" s="818"/>
      <c r="U30" s="830"/>
      <c r="V30" s="830"/>
      <c r="W30" s="66"/>
      <c r="X30" s="74"/>
    </row>
    <row r="31" spans="1:24" ht="16.5" customHeight="1">
      <c r="A31" s="92"/>
      <c r="B31" s="525"/>
      <c r="C31" s="1052"/>
      <c r="D31" s="1124" t="s">
        <v>450</v>
      </c>
      <c r="E31" s="68">
        <v>53842</v>
      </c>
      <c r="F31" s="68">
        <v>56766</v>
      </c>
      <c r="G31" s="338">
        <f>F31-E31</f>
        <v>2924</v>
      </c>
      <c r="H31" s="461" t="s">
        <v>628</v>
      </c>
      <c r="I31" s="1121" t="s">
        <v>629</v>
      </c>
      <c r="J31" s="1121"/>
      <c r="K31" s="1121"/>
      <c r="L31" s="1121"/>
      <c r="M31" s="1121"/>
      <c r="N31" s="1121"/>
      <c r="O31" s="1121"/>
      <c r="P31" s="1121"/>
      <c r="Q31" s="1121"/>
      <c r="R31" s="1121"/>
      <c r="S31" s="1121"/>
      <c r="T31" s="1121"/>
      <c r="U31" s="463" t="s">
        <v>615</v>
      </c>
      <c r="V31" s="463"/>
      <c r="W31" s="464"/>
      <c r="X31" s="486">
        <v>56766410</v>
      </c>
    </row>
    <row r="32" spans="1:24" ht="16.5" customHeight="1">
      <c r="A32" s="92"/>
      <c r="B32" s="525"/>
      <c r="C32" s="1053"/>
      <c r="D32" s="1125"/>
      <c r="E32" s="73"/>
      <c r="F32" s="73"/>
      <c r="G32" s="462"/>
      <c r="H32" s="465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88"/>
    </row>
    <row r="33" spans="1:24" ht="21" customHeight="1">
      <c r="A33" s="92"/>
      <c r="B33" s="525"/>
      <c r="C33" s="1051" t="s">
        <v>451</v>
      </c>
      <c r="D33" s="984"/>
      <c r="E33" s="68">
        <v>61036</v>
      </c>
      <c r="F33" s="69">
        <v>63582</v>
      </c>
      <c r="G33" s="318">
        <f>F33-E33</f>
        <v>2546</v>
      </c>
      <c r="H33" s="430"/>
      <c r="I33" s="455"/>
      <c r="J33" s="455"/>
      <c r="K33" s="455"/>
      <c r="L33" s="834"/>
      <c r="M33" s="455"/>
      <c r="N33" s="455"/>
      <c r="O33" s="455"/>
      <c r="P33" s="246"/>
      <c r="Q33" s="246"/>
      <c r="R33" s="246"/>
      <c r="S33" s="246"/>
      <c r="T33" s="246"/>
      <c r="U33" s="246"/>
      <c r="V33" s="246"/>
      <c r="W33" s="431"/>
      <c r="X33" s="103"/>
    </row>
    <row r="34" spans="1:24" ht="16.5" customHeight="1">
      <c r="A34" s="92"/>
      <c r="B34" s="525"/>
      <c r="C34" s="1052"/>
      <c r="D34" s="1124" t="s">
        <v>452</v>
      </c>
      <c r="E34" s="68">
        <v>19609</v>
      </c>
      <c r="F34" s="68">
        <v>20674</v>
      </c>
      <c r="G34" s="316">
        <f>F34-E34</f>
        <v>1065</v>
      </c>
      <c r="H34" s="466" t="s">
        <v>630</v>
      </c>
      <c r="I34" s="1137" t="s">
        <v>631</v>
      </c>
      <c r="J34" s="1137"/>
      <c r="K34" s="1137"/>
      <c r="L34" s="1137"/>
      <c r="M34" s="1137"/>
      <c r="N34" s="1137"/>
      <c r="O34" s="1137"/>
      <c r="P34" s="1137"/>
      <c r="Q34" s="1137"/>
      <c r="R34" s="1137"/>
      <c r="S34" s="1137"/>
      <c r="T34" s="1137"/>
      <c r="U34" s="505" t="s">
        <v>632</v>
      </c>
      <c r="V34" s="505"/>
      <c r="W34" s="467"/>
      <c r="X34" s="492">
        <v>20674320</v>
      </c>
    </row>
    <row r="35" spans="1:24" ht="16.5" customHeight="1" thickBot="1">
      <c r="A35" s="157"/>
      <c r="B35" s="108"/>
      <c r="C35" s="1054"/>
      <c r="D35" s="1136"/>
      <c r="E35" s="109"/>
      <c r="F35" s="109"/>
      <c r="G35" s="199"/>
      <c r="H35" s="477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487"/>
    </row>
    <row r="36" spans="1:24" ht="16.5" customHeight="1">
      <c r="A36" s="589" t="str">
        <f>A5</f>
        <v>01.사무비</v>
      </c>
      <c r="B36" s="590" t="str">
        <f>B6</f>
        <v>11.인건비</v>
      </c>
      <c r="C36" s="1055" t="str">
        <f>C33</f>
        <v>116.사회보험부담비용</v>
      </c>
      <c r="D36" s="1139" t="s">
        <v>453</v>
      </c>
      <c r="E36" s="205">
        <v>1284</v>
      </c>
      <c r="F36" s="205">
        <v>1354</v>
      </c>
      <c r="G36" s="591">
        <f>F36-E36</f>
        <v>70</v>
      </c>
      <c r="H36" s="897" t="s">
        <v>633</v>
      </c>
      <c r="I36" s="1140" t="s">
        <v>634</v>
      </c>
      <c r="J36" s="1140"/>
      <c r="K36" s="1140"/>
      <c r="L36" s="1140"/>
      <c r="M36" s="1140"/>
      <c r="N36" s="1140"/>
      <c r="O36" s="1140"/>
      <c r="P36" s="1140"/>
      <c r="Q36" s="1140"/>
      <c r="R36" s="1140"/>
      <c r="S36" s="1140"/>
      <c r="T36" s="1140"/>
      <c r="U36" s="592" t="s">
        <v>615</v>
      </c>
      <c r="V36" s="592"/>
      <c r="W36" s="593"/>
      <c r="X36" s="594">
        <v>1354170</v>
      </c>
    </row>
    <row r="37" spans="1:24" ht="16.5" customHeight="1">
      <c r="A37" s="92"/>
      <c r="B37" s="525"/>
      <c r="C37" s="1138"/>
      <c r="D37" s="1125"/>
      <c r="E37" s="73"/>
      <c r="F37" s="73"/>
      <c r="G37" s="793"/>
      <c r="H37" s="898"/>
      <c r="I37" s="865"/>
      <c r="J37" s="865"/>
      <c r="K37" s="865"/>
      <c r="L37" s="865"/>
      <c r="M37" s="865"/>
      <c r="N37" s="865"/>
      <c r="O37" s="865"/>
      <c r="P37" s="865"/>
      <c r="Q37" s="865"/>
      <c r="R37" s="865"/>
      <c r="S37" s="865"/>
      <c r="T37" s="865"/>
      <c r="U37" s="865"/>
      <c r="V37" s="865"/>
      <c r="W37" s="865"/>
      <c r="X37" s="899"/>
    </row>
    <row r="38" spans="1:24" ht="16.5" customHeight="1">
      <c r="A38" s="134"/>
      <c r="B38" s="131"/>
      <c r="C38" s="1138"/>
      <c r="D38" s="1141" t="s">
        <v>454</v>
      </c>
      <c r="E38" s="68">
        <v>29805</v>
      </c>
      <c r="F38" s="68">
        <v>30654</v>
      </c>
      <c r="G38" s="314">
        <f>F38-E38</f>
        <v>849</v>
      </c>
      <c r="H38" s="466" t="s">
        <v>635</v>
      </c>
      <c r="I38" s="1137" t="s">
        <v>636</v>
      </c>
      <c r="J38" s="1137"/>
      <c r="K38" s="1137"/>
      <c r="L38" s="1137"/>
      <c r="M38" s="1137"/>
      <c r="N38" s="1137"/>
      <c r="O38" s="1137"/>
      <c r="P38" s="1137"/>
      <c r="Q38" s="1137"/>
      <c r="R38" s="1137"/>
      <c r="S38" s="1137"/>
      <c r="T38" s="1137"/>
      <c r="U38" s="505" t="s">
        <v>615</v>
      </c>
      <c r="V38" s="505"/>
      <c r="W38" s="467"/>
      <c r="X38" s="492">
        <v>30653870</v>
      </c>
    </row>
    <row r="39" spans="1:24" ht="16.5" customHeight="1">
      <c r="A39" s="92"/>
      <c r="B39" s="525"/>
      <c r="C39" s="525"/>
      <c r="D39" s="1142"/>
      <c r="E39" s="73"/>
      <c r="F39" s="73"/>
      <c r="G39" s="381"/>
      <c r="H39" s="898"/>
      <c r="I39" s="900"/>
      <c r="J39" s="900"/>
      <c r="K39" s="900"/>
      <c r="L39" s="900"/>
      <c r="M39" s="900"/>
      <c r="N39" s="900"/>
      <c r="O39" s="900"/>
      <c r="P39" s="900"/>
      <c r="Q39" s="900"/>
      <c r="R39" s="900"/>
      <c r="S39" s="900"/>
      <c r="T39" s="900"/>
      <c r="U39" s="865"/>
      <c r="V39" s="865"/>
      <c r="W39" s="865"/>
      <c r="X39" s="899"/>
    </row>
    <row r="40" spans="1:24" ht="16.5" customHeight="1">
      <c r="A40" s="92"/>
      <c r="B40" s="525"/>
      <c r="C40" s="525"/>
      <c r="D40" s="1141" t="s">
        <v>455</v>
      </c>
      <c r="E40" s="68">
        <v>5815</v>
      </c>
      <c r="F40" s="68">
        <v>6131</v>
      </c>
      <c r="G40" s="329">
        <f>F40-E40</f>
        <v>316</v>
      </c>
      <c r="H40" s="466" t="s">
        <v>637</v>
      </c>
      <c r="I40" s="1137" t="s">
        <v>638</v>
      </c>
      <c r="J40" s="1137"/>
      <c r="K40" s="1137"/>
      <c r="L40" s="1137"/>
      <c r="M40" s="1137"/>
      <c r="N40" s="1137"/>
      <c r="O40" s="1137"/>
      <c r="P40" s="1137"/>
      <c r="Q40" s="1137"/>
      <c r="R40" s="1137"/>
      <c r="S40" s="1137"/>
      <c r="T40" s="1137"/>
      <c r="U40" s="505" t="s">
        <v>615</v>
      </c>
      <c r="V40" s="505"/>
      <c r="W40" s="467"/>
      <c r="X40" s="492">
        <v>6130780</v>
      </c>
    </row>
    <row r="41" spans="1:24" ht="16.5" customHeight="1">
      <c r="A41" s="92"/>
      <c r="B41" s="525"/>
      <c r="C41" s="525"/>
      <c r="D41" s="1142"/>
      <c r="E41" s="73"/>
      <c r="F41" s="73"/>
      <c r="G41" s="381"/>
      <c r="H41" s="898"/>
      <c r="I41" s="900"/>
      <c r="J41" s="900"/>
      <c r="K41" s="900"/>
      <c r="L41" s="900"/>
      <c r="M41" s="900"/>
      <c r="N41" s="900"/>
      <c r="O41" s="900"/>
      <c r="P41" s="900"/>
      <c r="Q41" s="900"/>
      <c r="R41" s="900"/>
      <c r="S41" s="900"/>
      <c r="T41" s="900"/>
      <c r="U41" s="865"/>
      <c r="V41" s="865"/>
      <c r="W41" s="865"/>
      <c r="X41" s="899"/>
    </row>
    <row r="42" spans="1:24" ht="16.5" customHeight="1">
      <c r="A42" s="92"/>
      <c r="B42" s="525"/>
      <c r="C42" s="525"/>
      <c r="D42" s="1141" t="s">
        <v>456</v>
      </c>
      <c r="E42" s="68">
        <v>4523</v>
      </c>
      <c r="F42" s="68">
        <v>4768</v>
      </c>
      <c r="G42" s="329">
        <f>F42-E42</f>
        <v>245</v>
      </c>
      <c r="H42" s="466" t="s">
        <v>639</v>
      </c>
      <c r="I42" s="1137" t="s">
        <v>640</v>
      </c>
      <c r="J42" s="1137"/>
      <c r="K42" s="1137"/>
      <c r="L42" s="1137"/>
      <c r="M42" s="1137"/>
      <c r="N42" s="1137"/>
      <c r="O42" s="1137"/>
      <c r="P42" s="1137"/>
      <c r="Q42" s="1137"/>
      <c r="R42" s="1137"/>
      <c r="S42" s="1137"/>
      <c r="T42" s="1137"/>
      <c r="U42" s="505" t="s">
        <v>615</v>
      </c>
      <c r="V42" s="505"/>
      <c r="W42" s="467"/>
      <c r="X42" s="492">
        <v>4768380</v>
      </c>
    </row>
    <row r="43" spans="1:24" ht="16.5" customHeight="1">
      <c r="A43" s="92"/>
      <c r="B43" s="525"/>
      <c r="C43" s="56"/>
      <c r="D43" s="1142"/>
      <c r="E43" s="73"/>
      <c r="F43" s="73"/>
      <c r="G43" s="381"/>
      <c r="H43" s="465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88"/>
    </row>
    <row r="44" spans="1:24" ht="16.5" customHeight="1">
      <c r="A44" s="92"/>
      <c r="B44" s="525"/>
      <c r="C44" s="1051" t="s">
        <v>458</v>
      </c>
      <c r="D44" s="984"/>
      <c r="E44" s="73">
        <v>2100</v>
      </c>
      <c r="F44" s="69">
        <f>F45</f>
        <v>1200</v>
      </c>
      <c r="G44" s="318">
        <f>F44-E44</f>
        <v>-900</v>
      </c>
      <c r="H44" s="596"/>
      <c r="I44" s="597"/>
      <c r="J44" s="597"/>
      <c r="K44" s="598"/>
      <c r="L44" s="598"/>
      <c r="M44" s="597"/>
      <c r="N44" s="597"/>
      <c r="O44" s="835"/>
      <c r="P44" s="835"/>
      <c r="Q44" s="130"/>
      <c r="R44" s="599"/>
      <c r="S44" s="600"/>
      <c r="T44" s="600"/>
      <c r="U44" s="127"/>
      <c r="V44" s="600"/>
      <c r="W44" s="601"/>
      <c r="X44" s="101"/>
    </row>
    <row r="45" spans="1:24" ht="16.5" customHeight="1">
      <c r="A45" s="92"/>
      <c r="B45" s="525"/>
      <c r="C45" s="1052"/>
      <c r="D45" s="1124" t="s">
        <v>459</v>
      </c>
      <c r="E45" s="68">
        <v>2100</v>
      </c>
      <c r="F45" s="68">
        <v>1200</v>
      </c>
      <c r="G45" s="316">
        <f>F45-E45</f>
        <v>-900</v>
      </c>
      <c r="H45" s="874" t="s">
        <v>641</v>
      </c>
      <c r="I45" s="901"/>
      <c r="J45" s="379" t="s">
        <v>603</v>
      </c>
      <c r="K45" s="1075">
        <v>1</v>
      </c>
      <c r="L45" s="1075"/>
      <c r="M45" s="902" t="s">
        <v>604</v>
      </c>
      <c r="N45" s="902"/>
      <c r="O45" s="379"/>
      <c r="P45" s="1075"/>
      <c r="Q45" s="1075"/>
      <c r="R45" s="1075"/>
      <c r="S45" s="1075"/>
      <c r="T45" s="902"/>
      <c r="U45" s="246" t="s">
        <v>615</v>
      </c>
      <c r="V45" s="902"/>
      <c r="W45" s="902"/>
      <c r="X45" s="903">
        <f>I45*K45</f>
        <v>0</v>
      </c>
    </row>
    <row r="46" spans="1:24" ht="16.5" customHeight="1">
      <c r="A46" s="92"/>
      <c r="B46" s="525"/>
      <c r="C46" s="787"/>
      <c r="D46" s="1129"/>
      <c r="E46" s="69"/>
      <c r="F46" s="69"/>
      <c r="G46" s="319"/>
      <c r="H46" s="874" t="s">
        <v>642</v>
      </c>
      <c r="I46" s="901">
        <v>100000</v>
      </c>
      <c r="J46" s="379" t="s">
        <v>603</v>
      </c>
      <c r="K46" s="1075">
        <v>4</v>
      </c>
      <c r="L46" s="1075"/>
      <c r="M46" s="902" t="s">
        <v>605</v>
      </c>
      <c r="N46" s="902"/>
      <c r="O46" s="379"/>
      <c r="P46" s="1075"/>
      <c r="Q46" s="1075"/>
      <c r="R46" s="1075"/>
      <c r="S46" s="1075"/>
      <c r="T46" s="902"/>
      <c r="U46" s="246" t="s">
        <v>615</v>
      </c>
      <c r="V46" s="902"/>
      <c r="W46" s="902"/>
      <c r="X46" s="903">
        <f>I46*K46</f>
        <v>400000</v>
      </c>
    </row>
    <row r="47" spans="1:24" ht="16.5" customHeight="1">
      <c r="A47" s="92"/>
      <c r="B47" s="525"/>
      <c r="C47" s="787"/>
      <c r="D47" s="1129"/>
      <c r="E47" s="69"/>
      <c r="F47" s="69"/>
      <c r="G47" s="319"/>
      <c r="H47" s="874" t="s">
        <v>643</v>
      </c>
      <c r="I47" s="901">
        <v>20000</v>
      </c>
      <c r="J47" s="379" t="s">
        <v>603</v>
      </c>
      <c r="K47" s="1075">
        <v>20</v>
      </c>
      <c r="L47" s="1075"/>
      <c r="M47" s="902" t="s">
        <v>604</v>
      </c>
      <c r="N47" s="902"/>
      <c r="O47" s="379" t="s">
        <v>603</v>
      </c>
      <c r="P47" s="1075">
        <v>1</v>
      </c>
      <c r="Q47" s="1075"/>
      <c r="R47" s="1075" t="s">
        <v>605</v>
      </c>
      <c r="S47" s="1075"/>
      <c r="T47" s="902"/>
      <c r="U47" s="246" t="s">
        <v>615</v>
      </c>
      <c r="V47" s="902"/>
      <c r="W47" s="902"/>
      <c r="X47" s="903">
        <f aca="true" t="shared" si="0" ref="X47:X48">I47*K47</f>
        <v>400000</v>
      </c>
    </row>
    <row r="48" spans="1:24" ht="16.5" customHeight="1">
      <c r="A48" s="92"/>
      <c r="B48" s="525"/>
      <c r="C48" s="784"/>
      <c r="D48" s="1125"/>
      <c r="E48" s="73"/>
      <c r="F48" s="73"/>
      <c r="G48" s="439"/>
      <c r="H48" s="875" t="s">
        <v>644</v>
      </c>
      <c r="I48" s="904">
        <v>400000</v>
      </c>
      <c r="J48" s="877" t="s">
        <v>603</v>
      </c>
      <c r="K48" s="1075">
        <v>1</v>
      </c>
      <c r="L48" s="1075"/>
      <c r="M48" s="905" t="s">
        <v>605</v>
      </c>
      <c r="N48" s="905"/>
      <c r="O48" s="877"/>
      <c r="P48" s="1144"/>
      <c r="Q48" s="1144"/>
      <c r="R48" s="1144"/>
      <c r="S48" s="1144"/>
      <c r="T48" s="905"/>
      <c r="U48" s="906" t="s">
        <v>615</v>
      </c>
      <c r="V48" s="905"/>
      <c r="W48" s="905"/>
      <c r="X48" s="903">
        <f t="shared" si="0"/>
        <v>400000</v>
      </c>
    </row>
    <row r="49" spans="1:24" ht="16.5" customHeight="1">
      <c r="A49" s="54"/>
      <c r="B49" s="1051" t="s">
        <v>460</v>
      </c>
      <c r="C49" s="55"/>
      <c r="D49" s="987"/>
      <c r="E49" s="73">
        <v>2800</v>
      </c>
      <c r="F49" s="73">
        <f>SUM(F50,,F53)</f>
        <v>1920</v>
      </c>
      <c r="G49" s="320">
        <f>F49-E49</f>
        <v>-880</v>
      </c>
      <c r="H49" s="831"/>
      <c r="I49" s="130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127"/>
      <c r="V49" s="127"/>
      <c r="W49" s="59"/>
      <c r="X49" s="98"/>
    </row>
    <row r="50" spans="1:24" ht="16.5" customHeight="1">
      <c r="A50" s="54"/>
      <c r="B50" s="1052"/>
      <c r="C50" s="1051" t="s">
        <v>461</v>
      </c>
      <c r="D50" s="996"/>
      <c r="E50" s="107">
        <v>1000</v>
      </c>
      <c r="F50" s="107">
        <f>F51</f>
        <v>1400</v>
      </c>
      <c r="G50" s="313">
        <f>F50-E50</f>
        <v>400</v>
      </c>
      <c r="H50" s="831"/>
      <c r="I50" s="130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127"/>
      <c r="V50" s="127"/>
      <c r="W50" s="59"/>
      <c r="X50" s="98"/>
    </row>
    <row r="51" spans="1:24" ht="16.5" customHeight="1">
      <c r="A51" s="54"/>
      <c r="B51" s="525"/>
      <c r="C51" s="1052"/>
      <c r="D51" s="1124" t="s">
        <v>462</v>
      </c>
      <c r="E51" s="68">
        <v>1000</v>
      </c>
      <c r="F51" s="68">
        <v>1400</v>
      </c>
      <c r="G51" s="317">
        <f>F51-E51</f>
        <v>400</v>
      </c>
      <c r="H51" s="888" t="s">
        <v>645</v>
      </c>
      <c r="I51" s="907">
        <v>100000</v>
      </c>
      <c r="J51" s="870" t="s">
        <v>603</v>
      </c>
      <c r="K51" s="1080">
        <v>2</v>
      </c>
      <c r="L51" s="1080"/>
      <c r="M51" s="908" t="s">
        <v>605</v>
      </c>
      <c r="N51" s="908"/>
      <c r="O51" s="870"/>
      <c r="P51" s="1080"/>
      <c r="Q51" s="1080"/>
      <c r="R51" s="1080"/>
      <c r="S51" s="1080"/>
      <c r="T51" s="908"/>
      <c r="U51" s="463" t="s">
        <v>615</v>
      </c>
      <c r="V51" s="908"/>
      <c r="W51" s="909"/>
      <c r="X51" s="910">
        <f>I51*K51</f>
        <v>200000</v>
      </c>
    </row>
    <row r="52" spans="1:24" ht="16.5" customHeight="1">
      <c r="A52" s="54"/>
      <c r="B52" s="525"/>
      <c r="C52" s="56"/>
      <c r="D52" s="1125"/>
      <c r="E52" s="73"/>
      <c r="F52" s="73"/>
      <c r="G52" s="57"/>
      <c r="H52" s="911" t="s">
        <v>646</v>
      </c>
      <c r="I52" s="904">
        <v>100000</v>
      </c>
      <c r="J52" s="877" t="s">
        <v>603</v>
      </c>
      <c r="K52" s="1143">
        <v>12</v>
      </c>
      <c r="L52" s="1143"/>
      <c r="M52" s="1143" t="s">
        <v>605</v>
      </c>
      <c r="N52" s="1143"/>
      <c r="O52" s="877"/>
      <c r="P52" s="876"/>
      <c r="Q52" s="876"/>
      <c r="R52" s="1143"/>
      <c r="S52" s="1143"/>
      <c r="T52" s="1143"/>
      <c r="U52" s="906" t="s">
        <v>615</v>
      </c>
      <c r="V52" s="906"/>
      <c r="W52" s="542"/>
      <c r="X52" s="102">
        <f>I52*K52</f>
        <v>1200000</v>
      </c>
    </row>
    <row r="53" spans="1:24" ht="16.5" customHeight="1">
      <c r="A53" s="54"/>
      <c r="B53" s="525"/>
      <c r="C53" s="1051" t="s">
        <v>463</v>
      </c>
      <c r="D53" s="973"/>
      <c r="E53" s="107">
        <v>1800</v>
      </c>
      <c r="F53" s="107">
        <f>F54</f>
        <v>520</v>
      </c>
      <c r="G53" s="317">
        <f>F53-E53</f>
        <v>-1280</v>
      </c>
      <c r="H53" s="440"/>
      <c r="I53" s="59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59"/>
      <c r="X53" s="98"/>
    </row>
    <row r="54" spans="1:24" ht="16.5" customHeight="1">
      <c r="A54" s="54"/>
      <c r="B54" s="525"/>
      <c r="C54" s="1052"/>
      <c r="D54" s="1141" t="s">
        <v>574</v>
      </c>
      <c r="E54" s="68">
        <v>1800</v>
      </c>
      <c r="F54" s="68">
        <v>520</v>
      </c>
      <c r="G54" s="317">
        <f>F54-E54</f>
        <v>-1280</v>
      </c>
      <c r="H54" s="901" t="s">
        <v>647</v>
      </c>
      <c r="I54" s="901">
        <v>80000</v>
      </c>
      <c r="J54" s="379" t="s">
        <v>603</v>
      </c>
      <c r="K54" s="1135">
        <v>4</v>
      </c>
      <c r="L54" s="1135"/>
      <c r="M54" s="1135" t="s">
        <v>605</v>
      </c>
      <c r="N54" s="1135"/>
      <c r="O54" s="379"/>
      <c r="P54" s="195"/>
      <c r="Q54" s="195"/>
      <c r="R54" s="455"/>
      <c r="S54" s="455"/>
      <c r="T54" s="455"/>
      <c r="U54" s="246" t="s">
        <v>615</v>
      </c>
      <c r="V54" s="246"/>
      <c r="W54" s="431"/>
      <c r="X54" s="103">
        <f>I54*K54</f>
        <v>320000</v>
      </c>
    </row>
    <row r="55" spans="1:24" ht="16.5" customHeight="1">
      <c r="A55" s="54"/>
      <c r="B55" s="525"/>
      <c r="C55" s="525"/>
      <c r="D55" s="1145"/>
      <c r="E55" s="69"/>
      <c r="F55" s="69"/>
      <c r="G55" s="318"/>
      <c r="H55" s="901" t="s">
        <v>648</v>
      </c>
      <c r="I55" s="901">
        <v>0</v>
      </c>
      <c r="J55" s="379" t="s">
        <v>603</v>
      </c>
      <c r="K55" s="1135">
        <v>0</v>
      </c>
      <c r="L55" s="1135"/>
      <c r="M55" s="1135" t="s">
        <v>605</v>
      </c>
      <c r="N55" s="1135"/>
      <c r="O55" s="379"/>
      <c r="P55" s="195"/>
      <c r="Q55" s="195"/>
      <c r="R55" s="455"/>
      <c r="S55" s="455"/>
      <c r="T55" s="455"/>
      <c r="U55" s="246" t="s">
        <v>615</v>
      </c>
      <c r="V55" s="246"/>
      <c r="W55" s="431"/>
      <c r="X55" s="103"/>
    </row>
    <row r="56" spans="1:24" ht="16.5" customHeight="1">
      <c r="A56" s="54"/>
      <c r="B56" s="56"/>
      <c r="C56" s="56"/>
      <c r="D56" s="971"/>
      <c r="E56" s="73"/>
      <c r="F56" s="73"/>
      <c r="G56" s="320"/>
      <c r="H56" s="904" t="s">
        <v>649</v>
      </c>
      <c r="I56" s="904">
        <v>100000</v>
      </c>
      <c r="J56" s="877" t="s">
        <v>603</v>
      </c>
      <c r="K56" s="1143">
        <v>2</v>
      </c>
      <c r="L56" s="1143"/>
      <c r="M56" s="1143" t="s">
        <v>605</v>
      </c>
      <c r="N56" s="1143"/>
      <c r="O56" s="877"/>
      <c r="P56" s="876"/>
      <c r="Q56" s="876"/>
      <c r="R56" s="1143"/>
      <c r="S56" s="1143"/>
      <c r="T56" s="1143"/>
      <c r="U56" s="906" t="s">
        <v>615</v>
      </c>
      <c r="V56" s="906"/>
      <c r="W56" s="542"/>
      <c r="X56" s="102">
        <f>I56*K56</f>
        <v>200000</v>
      </c>
    </row>
    <row r="57" spans="1:24" ht="17.25" customHeight="1">
      <c r="A57" s="1086"/>
      <c r="B57" s="378" t="s">
        <v>464</v>
      </c>
      <c r="C57" s="56"/>
      <c r="D57" s="987"/>
      <c r="E57" s="73">
        <v>48136</v>
      </c>
      <c r="F57" s="73">
        <f>SUM(F58,F62,F74,F78,F86,F89)</f>
        <v>33918</v>
      </c>
      <c r="G57" s="320">
        <f>F57-E57</f>
        <v>-14218</v>
      </c>
      <c r="H57" s="808"/>
      <c r="I57" s="522"/>
      <c r="J57" s="824"/>
      <c r="K57" s="824"/>
      <c r="L57" s="824"/>
      <c r="M57" s="824"/>
      <c r="N57" s="824"/>
      <c r="O57" s="824"/>
      <c r="P57" s="824"/>
      <c r="Q57" s="824"/>
      <c r="R57" s="824"/>
      <c r="S57" s="824"/>
      <c r="T57" s="824"/>
      <c r="U57" s="808"/>
      <c r="V57" s="808"/>
      <c r="W57" s="52"/>
      <c r="X57" s="96"/>
    </row>
    <row r="58" spans="1:24" ht="17.25" customHeight="1">
      <c r="A58" s="1086"/>
      <c r="B58" s="378"/>
      <c r="C58" s="525" t="s">
        <v>465</v>
      </c>
      <c r="D58" s="996"/>
      <c r="E58" s="107">
        <v>4600</v>
      </c>
      <c r="F58" s="107">
        <f>F59</f>
        <v>3961</v>
      </c>
      <c r="G58" s="313">
        <f>F58-E58</f>
        <v>-639</v>
      </c>
      <c r="H58" s="830"/>
      <c r="I58" s="803"/>
      <c r="J58" s="818"/>
      <c r="K58" s="818"/>
      <c r="L58" s="818"/>
      <c r="M58" s="818"/>
      <c r="N58" s="818"/>
      <c r="O58" s="818"/>
      <c r="P58" s="818"/>
      <c r="Q58" s="818"/>
      <c r="R58" s="818"/>
      <c r="S58" s="818"/>
      <c r="T58" s="818"/>
      <c r="U58" s="830"/>
      <c r="V58" s="830"/>
      <c r="W58" s="78"/>
      <c r="X58" s="74"/>
    </row>
    <row r="59" spans="1:24" ht="17.25" customHeight="1">
      <c r="A59" s="54"/>
      <c r="B59" s="378"/>
      <c r="C59" s="525"/>
      <c r="D59" s="986" t="s">
        <v>575</v>
      </c>
      <c r="E59" s="68">
        <v>4600</v>
      </c>
      <c r="F59" s="68">
        <v>3961</v>
      </c>
      <c r="G59" s="329">
        <f>F59-E59</f>
        <v>-639</v>
      </c>
      <c r="H59" s="912" t="s">
        <v>650</v>
      </c>
      <c r="I59" s="909"/>
      <c r="J59" s="870" t="s">
        <v>603</v>
      </c>
      <c r="K59" s="1080">
        <v>1</v>
      </c>
      <c r="L59" s="1080"/>
      <c r="M59" s="908" t="s">
        <v>651</v>
      </c>
      <c r="N59" s="908"/>
      <c r="O59" s="870" t="s">
        <v>603</v>
      </c>
      <c r="P59" s="1080">
        <v>1</v>
      </c>
      <c r="Q59" s="1080"/>
      <c r="R59" s="1080" t="s">
        <v>605</v>
      </c>
      <c r="S59" s="1080"/>
      <c r="T59" s="908"/>
      <c r="U59" s="463" t="s">
        <v>615</v>
      </c>
      <c r="V59" s="908"/>
      <c r="W59" s="464"/>
      <c r="X59" s="486">
        <f>I59*K59*P59</f>
        <v>0</v>
      </c>
    </row>
    <row r="60" spans="1:24" ht="17.25" customHeight="1">
      <c r="A60" s="54"/>
      <c r="B60" s="378"/>
      <c r="C60" s="525"/>
      <c r="D60" s="984"/>
      <c r="E60" s="69"/>
      <c r="F60" s="69"/>
      <c r="G60" s="314"/>
      <c r="H60" s="913" t="s">
        <v>652</v>
      </c>
      <c r="I60" s="914">
        <v>250000</v>
      </c>
      <c r="J60" s="379" t="s">
        <v>603</v>
      </c>
      <c r="K60" s="1075">
        <v>10</v>
      </c>
      <c r="L60" s="1075"/>
      <c r="M60" s="902" t="s">
        <v>651</v>
      </c>
      <c r="N60" s="902"/>
      <c r="O60" s="379" t="s">
        <v>603</v>
      </c>
      <c r="P60" s="1075">
        <v>1</v>
      </c>
      <c r="Q60" s="1075"/>
      <c r="R60" s="1075" t="s">
        <v>605</v>
      </c>
      <c r="S60" s="1075"/>
      <c r="T60" s="902"/>
      <c r="U60" s="246" t="s">
        <v>615</v>
      </c>
      <c r="V60" s="902"/>
      <c r="W60" s="431"/>
      <c r="X60" s="103">
        <f>I60*K60*P60</f>
        <v>2500000</v>
      </c>
    </row>
    <row r="61" spans="1:24" ht="17.25" customHeight="1">
      <c r="A61" s="54"/>
      <c r="B61" s="378"/>
      <c r="C61" s="525"/>
      <c r="D61" s="987"/>
      <c r="E61" s="73"/>
      <c r="F61" s="73"/>
      <c r="G61" s="381"/>
      <c r="H61" s="915" t="s">
        <v>653</v>
      </c>
      <c r="I61" s="876">
        <v>1461400</v>
      </c>
      <c r="J61" s="877" t="s">
        <v>603</v>
      </c>
      <c r="K61" s="1144">
        <v>10</v>
      </c>
      <c r="L61" s="1144"/>
      <c r="M61" s="905" t="s">
        <v>651</v>
      </c>
      <c r="N61" s="905"/>
      <c r="O61" s="877" t="s">
        <v>603</v>
      </c>
      <c r="P61" s="1144">
        <v>1</v>
      </c>
      <c r="Q61" s="1144"/>
      <c r="R61" s="1144" t="s">
        <v>605</v>
      </c>
      <c r="S61" s="1144"/>
      <c r="T61" s="916"/>
      <c r="U61" s="906" t="s">
        <v>615</v>
      </c>
      <c r="V61" s="906"/>
      <c r="W61" s="542"/>
      <c r="X61" s="102">
        <v>1461400</v>
      </c>
    </row>
    <row r="62" spans="1:24" ht="17.25" customHeight="1">
      <c r="A62" s="54"/>
      <c r="B62" s="378"/>
      <c r="C62" s="1051" t="s">
        <v>466</v>
      </c>
      <c r="D62" s="975"/>
      <c r="E62" s="73">
        <v>14780</v>
      </c>
      <c r="F62" s="69">
        <f>F63</f>
        <v>14135</v>
      </c>
      <c r="G62" s="318">
        <f>F62-E62</f>
        <v>-645</v>
      </c>
      <c r="H62" s="440"/>
      <c r="I62" s="59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836"/>
      <c r="V62" s="127"/>
      <c r="W62" s="59"/>
      <c r="X62" s="98"/>
    </row>
    <row r="63" spans="1:24" ht="17.25" customHeight="1">
      <c r="A63" s="54"/>
      <c r="B63" s="378"/>
      <c r="C63" s="1052"/>
      <c r="D63" s="1141" t="s">
        <v>467</v>
      </c>
      <c r="E63" s="68">
        <v>14780</v>
      </c>
      <c r="F63" s="68">
        <v>14135</v>
      </c>
      <c r="G63" s="316">
        <f>F63-E63</f>
        <v>-645</v>
      </c>
      <c r="H63" s="195" t="s">
        <v>654</v>
      </c>
      <c r="I63" s="914">
        <v>35200</v>
      </c>
      <c r="J63" s="379" t="s">
        <v>603</v>
      </c>
      <c r="K63" s="1075">
        <v>12</v>
      </c>
      <c r="L63" s="1075"/>
      <c r="M63" s="902" t="s">
        <v>614</v>
      </c>
      <c r="N63" s="195"/>
      <c r="O63" s="195"/>
      <c r="P63" s="195"/>
      <c r="Q63" s="195"/>
      <c r="R63" s="195"/>
      <c r="S63" s="195"/>
      <c r="T63" s="195"/>
      <c r="U63" s="246" t="s">
        <v>615</v>
      </c>
      <c r="V63" s="195"/>
      <c r="W63" s="195"/>
      <c r="X63" s="103">
        <f aca="true" t="shared" si="1" ref="X63">I63*K63</f>
        <v>422400</v>
      </c>
    </row>
    <row r="64" spans="1:24" ht="17.25" customHeight="1">
      <c r="A64" s="54"/>
      <c r="B64" s="378"/>
      <c r="C64" s="1052"/>
      <c r="D64" s="1145"/>
      <c r="E64" s="69"/>
      <c r="F64" s="69"/>
      <c r="G64" s="319"/>
      <c r="H64" s="893" t="s">
        <v>655</v>
      </c>
      <c r="I64" s="914">
        <v>200000</v>
      </c>
      <c r="J64" s="379" t="s">
        <v>603</v>
      </c>
      <c r="K64" s="1075">
        <v>12</v>
      </c>
      <c r="L64" s="1075"/>
      <c r="M64" s="902" t="s">
        <v>614</v>
      </c>
      <c r="N64" s="902"/>
      <c r="O64" s="195"/>
      <c r="P64" s="195"/>
      <c r="Q64" s="195"/>
      <c r="R64" s="195"/>
      <c r="S64" s="195"/>
      <c r="T64" s="195"/>
      <c r="U64" s="246" t="s">
        <v>615</v>
      </c>
      <c r="V64" s="195"/>
      <c r="W64" s="195"/>
      <c r="X64" s="103">
        <f>I64*K64</f>
        <v>2400000</v>
      </c>
    </row>
    <row r="65" spans="1:24" ht="17.25" customHeight="1">
      <c r="A65" s="54"/>
      <c r="B65" s="378"/>
      <c r="C65" s="787"/>
      <c r="D65" s="972"/>
      <c r="E65" s="69"/>
      <c r="F65" s="69"/>
      <c r="G65" s="319"/>
      <c r="H65" s="195" t="s">
        <v>656</v>
      </c>
      <c r="I65" s="914">
        <v>425180</v>
      </c>
      <c r="J65" s="379" t="s">
        <v>603</v>
      </c>
      <c r="K65" s="1075">
        <v>12</v>
      </c>
      <c r="L65" s="1075"/>
      <c r="M65" s="902" t="s">
        <v>614</v>
      </c>
      <c r="N65" s="195"/>
      <c r="O65" s="195"/>
      <c r="P65" s="195"/>
      <c r="Q65" s="195"/>
      <c r="R65" s="195"/>
      <c r="S65" s="195"/>
      <c r="T65" s="195"/>
      <c r="U65" s="246" t="s">
        <v>615</v>
      </c>
      <c r="V65" s="195"/>
      <c r="W65" s="195"/>
      <c r="X65" s="103">
        <v>5102130</v>
      </c>
    </row>
    <row r="66" spans="1:24" ht="17.25" customHeight="1">
      <c r="A66" s="54"/>
      <c r="B66" s="378"/>
      <c r="C66" s="787"/>
      <c r="D66" s="972"/>
      <c r="E66" s="69"/>
      <c r="F66" s="69"/>
      <c r="G66" s="319"/>
      <c r="H66" s="195" t="s">
        <v>657</v>
      </c>
      <c r="I66" s="914">
        <v>200000</v>
      </c>
      <c r="J66" s="379" t="s">
        <v>603</v>
      </c>
      <c r="K66" s="1075">
        <v>4</v>
      </c>
      <c r="L66" s="1075"/>
      <c r="M66" s="902" t="s">
        <v>605</v>
      </c>
      <c r="N66" s="195"/>
      <c r="O66" s="195"/>
      <c r="P66" s="195"/>
      <c r="Q66" s="195"/>
      <c r="R66" s="195"/>
      <c r="S66" s="195"/>
      <c r="T66" s="195"/>
      <c r="U66" s="246" t="s">
        <v>615</v>
      </c>
      <c r="V66" s="195"/>
      <c r="W66" s="195"/>
      <c r="X66" s="103">
        <f aca="true" t="shared" si="2" ref="X66:X73">I66*K66</f>
        <v>800000</v>
      </c>
    </row>
    <row r="67" spans="1:24" ht="17.25" customHeight="1">
      <c r="A67" s="54"/>
      <c r="B67" s="378"/>
      <c r="C67" s="787"/>
      <c r="D67" s="972"/>
      <c r="E67" s="69"/>
      <c r="F67" s="69"/>
      <c r="G67" s="319"/>
      <c r="H67" s="195" t="s">
        <v>658</v>
      </c>
      <c r="I67" s="914">
        <v>100000</v>
      </c>
      <c r="J67" s="379" t="s">
        <v>603</v>
      </c>
      <c r="K67" s="1075">
        <v>4</v>
      </c>
      <c r="L67" s="1075"/>
      <c r="M67" s="902" t="s">
        <v>605</v>
      </c>
      <c r="N67" s="195"/>
      <c r="O67" s="195"/>
      <c r="P67" s="195"/>
      <c r="Q67" s="195"/>
      <c r="R67" s="195"/>
      <c r="S67" s="195"/>
      <c r="T67" s="195"/>
      <c r="U67" s="246" t="s">
        <v>615</v>
      </c>
      <c r="V67" s="195"/>
      <c r="W67" s="195"/>
      <c r="X67" s="103">
        <f t="shared" si="2"/>
        <v>400000</v>
      </c>
    </row>
    <row r="68" spans="1:24" ht="17.25" customHeight="1">
      <c r="A68" s="54"/>
      <c r="B68" s="378"/>
      <c r="C68" s="787"/>
      <c r="D68" s="972"/>
      <c r="E68" s="69"/>
      <c r="F68" s="69"/>
      <c r="G68" s="319"/>
      <c r="H68" s="195" t="s">
        <v>659</v>
      </c>
      <c r="I68" s="914">
        <v>500000</v>
      </c>
      <c r="J68" s="379" t="s">
        <v>603</v>
      </c>
      <c r="K68" s="1075">
        <v>1</v>
      </c>
      <c r="L68" s="1075"/>
      <c r="M68" s="902" t="s">
        <v>605</v>
      </c>
      <c r="N68" s="195"/>
      <c r="O68" s="195"/>
      <c r="P68" s="195"/>
      <c r="Q68" s="195"/>
      <c r="R68" s="195"/>
      <c r="S68" s="195"/>
      <c r="T68" s="195"/>
      <c r="U68" s="246" t="s">
        <v>615</v>
      </c>
      <c r="V68" s="195"/>
      <c r="W68" s="195"/>
      <c r="X68" s="103">
        <f t="shared" si="2"/>
        <v>500000</v>
      </c>
    </row>
    <row r="69" spans="1:24" ht="17.25" customHeight="1">
      <c r="A69" s="54"/>
      <c r="B69" s="378"/>
      <c r="C69" s="787"/>
      <c r="D69" s="972"/>
      <c r="E69" s="69"/>
      <c r="F69" s="69"/>
      <c r="G69" s="319"/>
      <c r="H69" s="195" t="s">
        <v>660</v>
      </c>
      <c r="I69" s="914">
        <v>163000</v>
      </c>
      <c r="J69" s="379" t="s">
        <v>603</v>
      </c>
      <c r="K69" s="1075">
        <v>10</v>
      </c>
      <c r="L69" s="1075"/>
      <c r="M69" s="902" t="s">
        <v>605</v>
      </c>
      <c r="N69" s="195"/>
      <c r="O69" s="195"/>
      <c r="P69" s="195"/>
      <c r="Q69" s="195"/>
      <c r="R69" s="195"/>
      <c r="S69" s="195"/>
      <c r="T69" s="195"/>
      <c r="U69" s="246" t="s">
        <v>615</v>
      </c>
      <c r="V69" s="195"/>
      <c r="W69" s="195"/>
      <c r="X69" s="103">
        <f>I69*K69</f>
        <v>1630000</v>
      </c>
    </row>
    <row r="70" spans="1:24" ht="17.25" customHeight="1">
      <c r="A70" s="54"/>
      <c r="B70" s="378"/>
      <c r="C70" s="787"/>
      <c r="D70" s="972"/>
      <c r="E70" s="69"/>
      <c r="F70" s="69"/>
      <c r="G70" s="318"/>
      <c r="H70" s="893" t="s">
        <v>661</v>
      </c>
      <c r="I70" s="914">
        <v>10000</v>
      </c>
      <c r="J70" s="379" t="s">
        <v>603</v>
      </c>
      <c r="K70" s="1075">
        <v>12</v>
      </c>
      <c r="L70" s="1075"/>
      <c r="M70" s="902" t="s">
        <v>614</v>
      </c>
      <c r="N70" s="902"/>
      <c r="O70" s="195"/>
      <c r="P70" s="195"/>
      <c r="Q70" s="195"/>
      <c r="R70" s="195"/>
      <c r="S70" s="195"/>
      <c r="T70" s="195"/>
      <c r="U70" s="246" t="s">
        <v>615</v>
      </c>
      <c r="V70" s="195"/>
      <c r="W70" s="195"/>
      <c r="X70" s="103">
        <f>I70*K70</f>
        <v>120000</v>
      </c>
    </row>
    <row r="71" spans="1:24" ht="17.25" customHeight="1">
      <c r="A71" s="54"/>
      <c r="B71" s="378"/>
      <c r="C71" s="787"/>
      <c r="D71" s="972"/>
      <c r="E71" s="69"/>
      <c r="F71" s="69"/>
      <c r="G71" s="319"/>
      <c r="H71" s="195" t="s">
        <v>662</v>
      </c>
      <c r="I71" s="914">
        <v>100000</v>
      </c>
      <c r="J71" s="379" t="s">
        <v>603</v>
      </c>
      <c r="K71" s="1075">
        <v>12</v>
      </c>
      <c r="L71" s="1075"/>
      <c r="M71" s="902" t="s">
        <v>614</v>
      </c>
      <c r="N71" s="195"/>
      <c r="O71" s="195"/>
      <c r="P71" s="195"/>
      <c r="Q71" s="195"/>
      <c r="R71" s="195"/>
      <c r="S71" s="195"/>
      <c r="T71" s="195"/>
      <c r="U71" s="246" t="s">
        <v>615</v>
      </c>
      <c r="V71" s="195"/>
      <c r="W71" s="195"/>
      <c r="X71" s="103">
        <f aca="true" t="shared" si="3" ref="X71:X72">I71*K71</f>
        <v>1200000</v>
      </c>
    </row>
    <row r="72" spans="1:24" ht="17.25" customHeight="1">
      <c r="A72" s="54"/>
      <c r="B72" s="378"/>
      <c r="C72" s="787"/>
      <c r="D72" s="972"/>
      <c r="E72" s="69"/>
      <c r="F72" s="69"/>
      <c r="G72" s="319"/>
      <c r="H72" s="195" t="s">
        <v>663</v>
      </c>
      <c r="I72" s="914">
        <v>30000</v>
      </c>
      <c r="J72" s="379" t="s">
        <v>603</v>
      </c>
      <c r="K72" s="1075">
        <v>12</v>
      </c>
      <c r="L72" s="1075"/>
      <c r="M72" s="902" t="s">
        <v>614</v>
      </c>
      <c r="N72" s="195"/>
      <c r="O72" s="195"/>
      <c r="P72" s="195"/>
      <c r="Q72" s="195"/>
      <c r="R72" s="195"/>
      <c r="S72" s="195"/>
      <c r="T72" s="195"/>
      <c r="U72" s="246" t="s">
        <v>615</v>
      </c>
      <c r="V72" s="195"/>
      <c r="W72" s="195"/>
      <c r="X72" s="103">
        <f t="shared" si="3"/>
        <v>360000</v>
      </c>
    </row>
    <row r="73" spans="1:24" ht="17.25" customHeight="1" thickBot="1">
      <c r="A73" s="80"/>
      <c r="B73" s="158"/>
      <c r="C73" s="788"/>
      <c r="D73" s="985"/>
      <c r="E73" s="109"/>
      <c r="F73" s="109"/>
      <c r="G73" s="595"/>
      <c r="H73" s="917" t="s">
        <v>664</v>
      </c>
      <c r="I73" s="918">
        <v>100000</v>
      </c>
      <c r="J73" s="919" t="s">
        <v>603</v>
      </c>
      <c r="K73" s="1146">
        <v>12</v>
      </c>
      <c r="L73" s="1146"/>
      <c r="M73" s="920" t="s">
        <v>614</v>
      </c>
      <c r="N73" s="917"/>
      <c r="O73" s="917"/>
      <c r="P73" s="917"/>
      <c r="Q73" s="917"/>
      <c r="R73" s="917"/>
      <c r="S73" s="917"/>
      <c r="T73" s="917"/>
      <c r="U73" s="921" t="s">
        <v>615</v>
      </c>
      <c r="V73" s="917"/>
      <c r="W73" s="917"/>
      <c r="X73" s="922">
        <f t="shared" si="2"/>
        <v>1200000</v>
      </c>
    </row>
    <row r="74" spans="1:24" ht="17.25" customHeight="1">
      <c r="A74" s="1085" t="str">
        <f>A5</f>
        <v>01.사무비</v>
      </c>
      <c r="B74" s="1055" t="str">
        <f>B57</f>
        <v>13.운영비</v>
      </c>
      <c r="C74" s="1055" t="s">
        <v>468</v>
      </c>
      <c r="D74" s="998"/>
      <c r="E74" s="205">
        <v>8286</v>
      </c>
      <c r="F74" s="205">
        <f>F75</f>
        <v>8046</v>
      </c>
      <c r="G74" s="324">
        <f>F74-E74</f>
        <v>-240</v>
      </c>
      <c r="H74" s="124"/>
      <c r="I74" s="124"/>
      <c r="J74" s="457"/>
      <c r="K74" s="457"/>
      <c r="L74" s="457"/>
      <c r="M74" s="457"/>
      <c r="N74" s="457"/>
      <c r="O74" s="457"/>
      <c r="P74" s="457"/>
      <c r="Q74" s="457"/>
      <c r="R74" s="457"/>
      <c r="S74" s="457"/>
      <c r="T74" s="457"/>
      <c r="U74" s="160"/>
      <c r="V74" s="457"/>
      <c r="W74" s="124"/>
      <c r="X74" s="161"/>
    </row>
    <row r="75" spans="1:24" ht="17.25" customHeight="1">
      <c r="A75" s="1086"/>
      <c r="B75" s="1052"/>
      <c r="C75" s="1052"/>
      <c r="D75" s="1141" t="s">
        <v>469</v>
      </c>
      <c r="E75" s="68">
        <v>8286</v>
      </c>
      <c r="F75" s="68">
        <v>8046</v>
      </c>
      <c r="G75" s="317">
        <f>F75-E75</f>
        <v>-240</v>
      </c>
      <c r="H75" s="461" t="s">
        <v>665</v>
      </c>
      <c r="I75" s="909">
        <v>60500</v>
      </c>
      <c r="J75" s="870" t="s">
        <v>603</v>
      </c>
      <c r="K75" s="1080">
        <v>12</v>
      </c>
      <c r="L75" s="1080"/>
      <c r="M75" s="908" t="s">
        <v>614</v>
      </c>
      <c r="N75" s="908"/>
      <c r="O75" s="869"/>
      <c r="P75" s="869"/>
      <c r="Q75" s="869"/>
      <c r="R75" s="869"/>
      <c r="S75" s="869"/>
      <c r="T75" s="869"/>
      <c r="U75" s="246" t="s">
        <v>615</v>
      </c>
      <c r="V75" s="869"/>
      <c r="W75" s="869"/>
      <c r="X75" s="486">
        <f>I75*K75</f>
        <v>726000</v>
      </c>
    </row>
    <row r="76" spans="1:24" ht="17.25" customHeight="1">
      <c r="A76" s="54"/>
      <c r="B76" s="378"/>
      <c r="C76" s="525"/>
      <c r="D76" s="1145"/>
      <c r="E76" s="69"/>
      <c r="F76" s="69"/>
      <c r="G76" s="63"/>
      <c r="H76" s="195" t="s">
        <v>666</v>
      </c>
      <c r="I76" s="914">
        <v>110000</v>
      </c>
      <c r="J76" s="379" t="s">
        <v>603</v>
      </c>
      <c r="K76" s="1075">
        <v>12</v>
      </c>
      <c r="L76" s="1075"/>
      <c r="M76" s="902" t="s">
        <v>614</v>
      </c>
      <c r="N76" s="195"/>
      <c r="O76" s="195"/>
      <c r="P76" s="195"/>
      <c r="Q76" s="195"/>
      <c r="R76" s="195"/>
      <c r="S76" s="195"/>
      <c r="T76" s="195"/>
      <c r="U76" s="246" t="s">
        <v>615</v>
      </c>
      <c r="V76" s="195"/>
      <c r="W76" s="195"/>
      <c r="X76" s="103">
        <f>I76*K76</f>
        <v>1320000</v>
      </c>
    </row>
    <row r="77" spans="1:24" ht="17.25" customHeight="1">
      <c r="A77" s="54"/>
      <c r="B77" s="378"/>
      <c r="C77" s="525"/>
      <c r="D77" s="999"/>
      <c r="E77" s="69"/>
      <c r="F77" s="69"/>
      <c r="G77" s="63"/>
      <c r="H77" s="195" t="s">
        <v>667</v>
      </c>
      <c r="I77" s="914">
        <v>500000</v>
      </c>
      <c r="J77" s="379" t="s">
        <v>603</v>
      </c>
      <c r="K77" s="1075">
        <v>12</v>
      </c>
      <c r="L77" s="1075"/>
      <c r="M77" s="902" t="s">
        <v>614</v>
      </c>
      <c r="N77" s="195"/>
      <c r="O77" s="195"/>
      <c r="P77" s="195"/>
      <c r="Q77" s="195"/>
      <c r="R77" s="195"/>
      <c r="S77" s="195"/>
      <c r="T77" s="195"/>
      <c r="U77" s="246" t="s">
        <v>615</v>
      </c>
      <c r="V77" s="195"/>
      <c r="W77" s="195"/>
      <c r="X77" s="103">
        <f>I77*K77</f>
        <v>6000000</v>
      </c>
    </row>
    <row r="78" spans="1:24" ht="17.25" customHeight="1">
      <c r="A78" s="54"/>
      <c r="B78" s="378"/>
      <c r="C78" s="1051" t="s">
        <v>470</v>
      </c>
      <c r="D78" s="996"/>
      <c r="E78" s="107">
        <v>2820</v>
      </c>
      <c r="F78" s="107">
        <f>F79</f>
        <v>1263</v>
      </c>
      <c r="G78" s="313">
        <f>F78-E78</f>
        <v>-1557</v>
      </c>
      <c r="H78" s="127"/>
      <c r="I78" s="130"/>
      <c r="J78" s="429"/>
      <c r="K78" s="429"/>
      <c r="L78" s="429"/>
      <c r="M78" s="429"/>
      <c r="N78" s="429"/>
      <c r="O78" s="429"/>
      <c r="P78" s="429"/>
      <c r="Q78" s="429"/>
      <c r="R78" s="429"/>
      <c r="S78" s="429"/>
      <c r="T78" s="429"/>
      <c r="U78" s="127"/>
      <c r="V78" s="127"/>
      <c r="W78" s="59"/>
      <c r="X78" s="98"/>
    </row>
    <row r="79" spans="1:24" ht="17.25" customHeight="1">
      <c r="A79" s="54"/>
      <c r="B79" s="378"/>
      <c r="C79" s="1052"/>
      <c r="D79" s="1124" t="s">
        <v>471</v>
      </c>
      <c r="E79" s="69">
        <v>2820</v>
      </c>
      <c r="F79" s="69">
        <v>1263</v>
      </c>
      <c r="G79" s="319">
        <f>F79-E79</f>
        <v>-1557</v>
      </c>
      <c r="H79" s="461" t="s">
        <v>668</v>
      </c>
      <c r="I79" s="909"/>
      <c r="J79" s="870" t="s">
        <v>603</v>
      </c>
      <c r="K79" s="1080"/>
      <c r="L79" s="1080"/>
      <c r="M79" s="908" t="s">
        <v>605</v>
      </c>
      <c r="N79" s="908"/>
      <c r="O79" s="869"/>
      <c r="P79" s="869"/>
      <c r="Q79" s="869"/>
      <c r="R79" s="869"/>
      <c r="S79" s="869"/>
      <c r="T79" s="869"/>
      <c r="U79" s="246" t="s">
        <v>615</v>
      </c>
      <c r="V79" s="869"/>
      <c r="W79" s="869"/>
      <c r="X79" s="486"/>
    </row>
    <row r="80" spans="1:24" ht="15" customHeight="1">
      <c r="A80" s="54"/>
      <c r="B80" s="378"/>
      <c r="C80" s="525"/>
      <c r="D80" s="1129"/>
      <c r="E80" s="69"/>
      <c r="F80" s="69"/>
      <c r="G80" s="798"/>
      <c r="H80" s="195" t="s">
        <v>669</v>
      </c>
      <c r="I80" s="914"/>
      <c r="J80" s="379" t="s">
        <v>603</v>
      </c>
      <c r="K80" s="1075"/>
      <c r="L80" s="1075"/>
      <c r="M80" s="902" t="s">
        <v>605</v>
      </c>
      <c r="N80" s="195"/>
      <c r="O80" s="195"/>
      <c r="P80" s="195"/>
      <c r="Q80" s="195"/>
      <c r="R80" s="195"/>
      <c r="S80" s="195"/>
      <c r="T80" s="195"/>
      <c r="U80" s="246" t="s">
        <v>615</v>
      </c>
      <c r="V80" s="195"/>
      <c r="W80" s="195"/>
      <c r="X80" s="103"/>
    </row>
    <row r="81" spans="1:24" ht="15" customHeight="1">
      <c r="A81" s="54"/>
      <c r="B81" s="378"/>
      <c r="C81" s="525"/>
      <c r="D81" s="972"/>
      <c r="E81" s="69"/>
      <c r="F81" s="69"/>
      <c r="G81" s="798"/>
      <c r="H81" s="195" t="s">
        <v>670</v>
      </c>
      <c r="I81" s="914"/>
      <c r="J81" s="379" t="s">
        <v>603</v>
      </c>
      <c r="K81" s="1075"/>
      <c r="L81" s="1075"/>
      <c r="M81" s="902" t="s">
        <v>605</v>
      </c>
      <c r="N81" s="195"/>
      <c r="O81" s="195"/>
      <c r="P81" s="195"/>
      <c r="Q81" s="195"/>
      <c r="R81" s="195"/>
      <c r="S81" s="195"/>
      <c r="T81" s="195"/>
      <c r="U81" s="246" t="s">
        <v>615</v>
      </c>
      <c r="V81" s="195"/>
      <c r="W81" s="195"/>
      <c r="X81" s="103"/>
    </row>
    <row r="82" spans="1:24" ht="15" customHeight="1">
      <c r="A82" s="54"/>
      <c r="B82" s="378"/>
      <c r="C82" s="525"/>
      <c r="D82" s="984"/>
      <c r="E82" s="69"/>
      <c r="F82" s="69"/>
      <c r="G82" s="63"/>
      <c r="H82" s="195" t="s">
        <v>671</v>
      </c>
      <c r="I82" s="914">
        <v>1110000</v>
      </c>
      <c r="J82" s="379" t="s">
        <v>603</v>
      </c>
      <c r="K82" s="1075">
        <v>1</v>
      </c>
      <c r="L82" s="1075"/>
      <c r="M82" s="902" t="s">
        <v>672</v>
      </c>
      <c r="N82" s="195"/>
      <c r="O82" s="195"/>
      <c r="P82" s="195"/>
      <c r="Q82" s="195"/>
      <c r="R82" s="195"/>
      <c r="S82" s="195"/>
      <c r="T82" s="195"/>
      <c r="U82" s="246" t="s">
        <v>615</v>
      </c>
      <c r="V82" s="195"/>
      <c r="W82" s="195"/>
      <c r="X82" s="103">
        <v>1110000</v>
      </c>
    </row>
    <row r="83" spans="1:24" ht="15" customHeight="1">
      <c r="A83" s="54"/>
      <c r="B83" s="378"/>
      <c r="C83" s="525"/>
      <c r="D83" s="984"/>
      <c r="E83" s="69"/>
      <c r="F83" s="69"/>
      <c r="G83" s="63"/>
      <c r="H83" s="195" t="s">
        <v>673</v>
      </c>
      <c r="I83" s="914">
        <v>62000</v>
      </c>
      <c r="J83" s="379" t="s">
        <v>603</v>
      </c>
      <c r="K83" s="1075">
        <v>1</v>
      </c>
      <c r="L83" s="1075"/>
      <c r="M83" s="902" t="s">
        <v>672</v>
      </c>
      <c r="N83" s="195"/>
      <c r="O83" s="195"/>
      <c r="P83" s="195"/>
      <c r="Q83" s="195"/>
      <c r="R83" s="195"/>
      <c r="S83" s="195"/>
      <c r="T83" s="195"/>
      <c r="U83" s="246" t="s">
        <v>615</v>
      </c>
      <c r="V83" s="195"/>
      <c r="W83" s="195"/>
      <c r="X83" s="103">
        <v>62000</v>
      </c>
    </row>
    <row r="84" spans="1:24" ht="15" customHeight="1">
      <c r="A84" s="54"/>
      <c r="B84" s="378"/>
      <c r="C84" s="525"/>
      <c r="D84" s="984"/>
      <c r="E84" s="69"/>
      <c r="F84" s="69"/>
      <c r="G84" s="63"/>
      <c r="H84" s="195" t="s">
        <v>674</v>
      </c>
      <c r="I84" s="195">
        <v>45500</v>
      </c>
      <c r="J84" s="379" t="s">
        <v>603</v>
      </c>
      <c r="K84" s="1135">
        <v>2</v>
      </c>
      <c r="L84" s="1135"/>
      <c r="M84" s="1068" t="s">
        <v>246</v>
      </c>
      <c r="N84" s="1068"/>
      <c r="O84" s="195"/>
      <c r="P84" s="455"/>
      <c r="Q84" s="455"/>
      <c r="R84" s="455"/>
      <c r="S84" s="455"/>
      <c r="T84" s="455"/>
      <c r="U84" s="246" t="s">
        <v>615</v>
      </c>
      <c r="V84" s="246"/>
      <c r="W84" s="431"/>
      <c r="X84" s="103">
        <v>91000</v>
      </c>
    </row>
    <row r="85" spans="1:24" ht="15" customHeight="1">
      <c r="A85" s="54"/>
      <c r="B85" s="378"/>
      <c r="C85" s="525"/>
      <c r="D85" s="984"/>
      <c r="E85" s="69"/>
      <c r="F85" s="69"/>
      <c r="G85" s="63"/>
      <c r="H85" s="195" t="s">
        <v>675</v>
      </c>
      <c r="I85" s="195"/>
      <c r="J85" s="379" t="s">
        <v>603</v>
      </c>
      <c r="K85" s="1135"/>
      <c r="L85" s="1135"/>
      <c r="M85" s="1068" t="s">
        <v>246</v>
      </c>
      <c r="N85" s="1068"/>
      <c r="O85" s="195"/>
      <c r="P85" s="455"/>
      <c r="Q85" s="455"/>
      <c r="R85" s="455"/>
      <c r="S85" s="455"/>
      <c r="T85" s="455"/>
      <c r="U85" s="246" t="s">
        <v>615</v>
      </c>
      <c r="V85" s="246"/>
      <c r="W85" s="431"/>
      <c r="X85" s="103"/>
    </row>
    <row r="86" spans="1:24" ht="19.5" customHeight="1">
      <c r="A86" s="339"/>
      <c r="B86" s="133"/>
      <c r="C86" s="1148" t="s">
        <v>472</v>
      </c>
      <c r="D86" s="996"/>
      <c r="E86" s="107">
        <v>13500</v>
      </c>
      <c r="F86" s="107">
        <f>F87</f>
        <v>5563</v>
      </c>
      <c r="G86" s="313">
        <f>F86-E86</f>
        <v>-7937</v>
      </c>
      <c r="H86" s="59"/>
      <c r="I86" s="59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836"/>
      <c r="V86" s="127"/>
      <c r="W86" s="59"/>
      <c r="X86" s="98"/>
    </row>
    <row r="87" spans="1:24" ht="18" customHeight="1">
      <c r="A87" s="54"/>
      <c r="B87" s="378"/>
      <c r="C87" s="1149"/>
      <c r="D87" s="1124" t="s">
        <v>473</v>
      </c>
      <c r="E87" s="68">
        <v>13500</v>
      </c>
      <c r="F87" s="68">
        <v>5563</v>
      </c>
      <c r="G87" s="338">
        <f>F87-E87</f>
        <v>-7937</v>
      </c>
      <c r="H87" s="923" t="s">
        <v>676</v>
      </c>
      <c r="I87" s="909">
        <v>438580</v>
      </c>
      <c r="J87" s="870" t="s">
        <v>603</v>
      </c>
      <c r="K87" s="1080">
        <v>12</v>
      </c>
      <c r="L87" s="1080"/>
      <c r="M87" s="908" t="s">
        <v>614</v>
      </c>
      <c r="N87" s="908"/>
      <c r="O87" s="869"/>
      <c r="P87" s="869"/>
      <c r="Q87" s="869"/>
      <c r="R87" s="869"/>
      <c r="S87" s="869"/>
      <c r="T87" s="869"/>
      <c r="U87" s="246" t="s">
        <v>615</v>
      </c>
      <c r="V87" s="869"/>
      <c r="W87" s="869"/>
      <c r="X87" s="486">
        <v>5263000</v>
      </c>
    </row>
    <row r="88" spans="1:24" ht="18" customHeight="1">
      <c r="A88" s="54"/>
      <c r="B88" s="378"/>
      <c r="C88" s="56"/>
      <c r="D88" s="1125"/>
      <c r="E88" s="73"/>
      <c r="F88" s="73"/>
      <c r="G88" s="442"/>
      <c r="H88" s="924" t="s">
        <v>677</v>
      </c>
      <c r="I88" s="925">
        <v>50000</v>
      </c>
      <c r="J88" s="877" t="s">
        <v>603</v>
      </c>
      <c r="K88" s="1144">
        <v>6</v>
      </c>
      <c r="L88" s="1144"/>
      <c r="M88" s="905" t="s">
        <v>605</v>
      </c>
      <c r="N88" s="876"/>
      <c r="O88" s="876"/>
      <c r="P88" s="876"/>
      <c r="Q88" s="876"/>
      <c r="R88" s="876"/>
      <c r="S88" s="876"/>
      <c r="T88" s="876"/>
      <c r="U88" s="906" t="s">
        <v>615</v>
      </c>
      <c r="V88" s="876"/>
      <c r="W88" s="876"/>
      <c r="X88" s="102">
        <f>I88*K88</f>
        <v>300000</v>
      </c>
    </row>
    <row r="89" spans="1:24" ht="17.25" customHeight="1">
      <c r="A89" s="49"/>
      <c r="B89" s="378"/>
      <c r="C89" s="812" t="s">
        <v>474</v>
      </c>
      <c r="D89" s="975"/>
      <c r="E89" s="69">
        <v>4150</v>
      </c>
      <c r="F89" s="69">
        <f>F90</f>
        <v>950</v>
      </c>
      <c r="G89" s="318">
        <f>F89-E89</f>
        <v>-3200</v>
      </c>
      <c r="H89" s="66"/>
      <c r="I89" s="66"/>
      <c r="J89" s="794"/>
      <c r="K89" s="127"/>
      <c r="L89" s="127"/>
      <c r="M89" s="794"/>
      <c r="N89" s="794"/>
      <c r="O89" s="794"/>
      <c r="P89" s="794"/>
      <c r="Q89" s="794"/>
      <c r="R89" s="794"/>
      <c r="S89" s="794"/>
      <c r="T89" s="794"/>
      <c r="U89" s="794"/>
      <c r="V89" s="794"/>
      <c r="W89" s="66"/>
      <c r="X89" s="95"/>
    </row>
    <row r="90" spans="1:24" ht="17.25" customHeight="1">
      <c r="A90" s="54"/>
      <c r="B90" s="378"/>
      <c r="C90" s="812"/>
      <c r="D90" s="970" t="s">
        <v>475</v>
      </c>
      <c r="E90" s="68">
        <v>4150</v>
      </c>
      <c r="F90" s="68">
        <v>950</v>
      </c>
      <c r="G90" s="317">
        <f>F90-E90</f>
        <v>-3200</v>
      </c>
      <c r="H90" s="926" t="s">
        <v>678</v>
      </c>
      <c r="I90" s="907">
        <v>20000</v>
      </c>
      <c r="J90" s="870" t="s">
        <v>603</v>
      </c>
      <c r="K90" s="1135">
        <v>20</v>
      </c>
      <c r="L90" s="1135"/>
      <c r="M90" s="908" t="s">
        <v>604</v>
      </c>
      <c r="N90" s="908"/>
      <c r="O90" s="870" t="s">
        <v>603</v>
      </c>
      <c r="P90" s="927">
        <v>1</v>
      </c>
      <c r="Q90" s="928"/>
      <c r="R90" s="928" t="s">
        <v>605</v>
      </c>
      <c r="S90" s="928"/>
      <c r="T90" s="908"/>
      <c r="U90" s="463" t="s">
        <v>615</v>
      </c>
      <c r="V90" s="908"/>
      <c r="W90" s="908"/>
      <c r="X90" s="929">
        <f>I90*K90*P90</f>
        <v>400000</v>
      </c>
    </row>
    <row r="91" spans="1:24" ht="17.25" customHeight="1">
      <c r="A91" s="54"/>
      <c r="B91" s="378"/>
      <c r="C91" s="525"/>
      <c r="D91" s="972"/>
      <c r="E91" s="69"/>
      <c r="F91" s="69"/>
      <c r="G91" s="798"/>
      <c r="H91" s="930" t="s">
        <v>679</v>
      </c>
      <c r="I91" s="901">
        <v>20000</v>
      </c>
      <c r="J91" s="379" t="s">
        <v>603</v>
      </c>
      <c r="K91" s="1135">
        <v>20</v>
      </c>
      <c r="L91" s="1135"/>
      <c r="M91" s="902" t="s">
        <v>604</v>
      </c>
      <c r="N91" s="902"/>
      <c r="O91" s="379" t="s">
        <v>603</v>
      </c>
      <c r="P91" s="931">
        <v>1</v>
      </c>
      <c r="Q91" s="932"/>
      <c r="R91" s="932" t="s">
        <v>605</v>
      </c>
      <c r="S91" s="932"/>
      <c r="T91" s="902"/>
      <c r="U91" s="246" t="s">
        <v>615</v>
      </c>
      <c r="V91" s="902"/>
      <c r="W91" s="902"/>
      <c r="X91" s="903">
        <f>I91*K91*P91</f>
        <v>400000</v>
      </c>
    </row>
    <row r="92" spans="1:24" ht="15" customHeight="1" thickBot="1">
      <c r="A92" s="54"/>
      <c r="B92" s="378"/>
      <c r="C92" s="525"/>
      <c r="D92" s="984"/>
      <c r="E92" s="69"/>
      <c r="F92" s="69"/>
      <c r="G92" s="63"/>
      <c r="H92" s="933" t="s">
        <v>680</v>
      </c>
      <c r="I92" s="195">
        <v>50000</v>
      </c>
      <c r="J92" s="379" t="s">
        <v>603</v>
      </c>
      <c r="K92" s="1135">
        <v>3</v>
      </c>
      <c r="L92" s="1135"/>
      <c r="M92" s="1068" t="s">
        <v>604</v>
      </c>
      <c r="N92" s="1068"/>
      <c r="O92" s="195"/>
      <c r="P92" s="455"/>
      <c r="Q92" s="455"/>
      <c r="R92" s="455"/>
      <c r="S92" s="455"/>
      <c r="T92" s="455"/>
      <c r="U92" s="246" t="s">
        <v>615</v>
      </c>
      <c r="V92" s="246"/>
      <c r="W92" s="431"/>
      <c r="X92" s="103">
        <f>I92*K92</f>
        <v>150000</v>
      </c>
    </row>
    <row r="93" spans="1:24" ht="17.25" customHeight="1">
      <c r="A93" s="1085" t="s">
        <v>476</v>
      </c>
      <c r="B93" s="289"/>
      <c r="C93" s="135"/>
      <c r="D93" s="1000"/>
      <c r="E93" s="204">
        <v>36670</v>
      </c>
      <c r="F93" s="204">
        <f>F94</f>
        <v>58441</v>
      </c>
      <c r="G93" s="625">
        <f>F93-E93</f>
        <v>21771</v>
      </c>
      <c r="H93" s="457"/>
      <c r="I93" s="457"/>
      <c r="J93" s="457"/>
      <c r="K93" s="457"/>
      <c r="L93" s="457"/>
      <c r="M93" s="457"/>
      <c r="N93" s="457"/>
      <c r="O93" s="457"/>
      <c r="P93" s="457"/>
      <c r="Q93" s="457"/>
      <c r="R93" s="457"/>
      <c r="S93" s="457"/>
      <c r="T93" s="457"/>
      <c r="U93" s="457"/>
      <c r="V93" s="457"/>
      <c r="W93" s="457"/>
      <c r="X93" s="626"/>
    </row>
    <row r="94" spans="1:24" ht="17.25" customHeight="1">
      <c r="A94" s="1086"/>
      <c r="B94" s="1051" t="s">
        <v>477</v>
      </c>
      <c r="C94" s="64"/>
      <c r="D94" s="996"/>
      <c r="E94" s="107">
        <v>36670</v>
      </c>
      <c r="F94" s="107">
        <f>SUM(F95,F98,F103)</f>
        <v>58441</v>
      </c>
      <c r="G94" s="317">
        <f>F94-E94</f>
        <v>21771</v>
      </c>
      <c r="H94" s="127"/>
      <c r="I94" s="130"/>
      <c r="J94" s="429"/>
      <c r="K94" s="429"/>
      <c r="L94" s="429"/>
      <c r="M94" s="429"/>
      <c r="N94" s="429"/>
      <c r="O94" s="429"/>
      <c r="P94" s="429"/>
      <c r="Q94" s="429"/>
      <c r="R94" s="429"/>
      <c r="S94" s="429"/>
      <c r="T94" s="429"/>
      <c r="U94" s="127"/>
      <c r="V94" s="127"/>
      <c r="W94" s="59"/>
      <c r="X94" s="98"/>
    </row>
    <row r="95" spans="1:24" ht="17.25" customHeight="1">
      <c r="A95" s="54"/>
      <c r="B95" s="1052"/>
      <c r="C95" s="1051" t="s">
        <v>478</v>
      </c>
      <c r="D95" s="996"/>
      <c r="E95" s="107">
        <v>0</v>
      </c>
      <c r="F95" s="107">
        <f>F96</f>
        <v>0</v>
      </c>
      <c r="G95" s="317">
        <f>F95-E95</f>
        <v>0</v>
      </c>
      <c r="H95" s="127"/>
      <c r="I95" s="130"/>
      <c r="J95" s="429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127"/>
      <c r="V95" s="127"/>
      <c r="W95" s="59"/>
      <c r="X95" s="98"/>
    </row>
    <row r="96" spans="1:24" ht="17.25" customHeight="1">
      <c r="A96" s="54"/>
      <c r="B96" s="63"/>
      <c r="C96" s="1052"/>
      <c r="D96" s="1141" t="s">
        <v>479</v>
      </c>
      <c r="E96" s="68">
        <v>0</v>
      </c>
      <c r="F96" s="68"/>
      <c r="G96" s="317">
        <f>F96-E96</f>
        <v>0</v>
      </c>
      <c r="H96" s="434"/>
      <c r="I96" s="349"/>
      <c r="J96" s="818"/>
      <c r="K96" s="818"/>
      <c r="L96" s="818"/>
      <c r="M96" s="818"/>
      <c r="N96" s="818"/>
      <c r="O96" s="818"/>
      <c r="P96" s="818"/>
      <c r="Q96" s="818"/>
      <c r="R96" s="818"/>
      <c r="S96" s="818"/>
      <c r="T96" s="818"/>
      <c r="U96" s="830"/>
      <c r="V96" s="830"/>
      <c r="W96" s="78"/>
      <c r="X96" s="74"/>
    </row>
    <row r="97" spans="1:24" ht="17.25" customHeight="1">
      <c r="A97" s="54"/>
      <c r="B97" s="63"/>
      <c r="C97" s="57"/>
      <c r="D97" s="1142"/>
      <c r="E97" s="73"/>
      <c r="F97" s="73"/>
      <c r="G97" s="57"/>
      <c r="H97" s="441"/>
      <c r="I97" s="356"/>
      <c r="J97" s="356"/>
      <c r="K97" s="356"/>
      <c r="L97" s="356"/>
      <c r="M97" s="824"/>
      <c r="N97" s="824"/>
      <c r="O97" s="824"/>
      <c r="P97" s="824"/>
      <c r="Q97" s="824"/>
      <c r="R97" s="824"/>
      <c r="S97" s="824"/>
      <c r="T97" s="824"/>
      <c r="U97" s="808"/>
      <c r="V97" s="808"/>
      <c r="W97" s="52"/>
      <c r="X97" s="96"/>
    </row>
    <row r="98" spans="1:24" ht="17.25" customHeight="1">
      <c r="A98" s="54"/>
      <c r="B98" s="63"/>
      <c r="C98" s="1088" t="s">
        <v>480</v>
      </c>
      <c r="D98" s="975"/>
      <c r="E98" s="69">
        <v>13000</v>
      </c>
      <c r="F98" s="107">
        <f>F99</f>
        <v>29800</v>
      </c>
      <c r="G98" s="988">
        <f>F98-E98</f>
        <v>16800</v>
      </c>
      <c r="H98" s="440"/>
      <c r="I98" s="59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836"/>
      <c r="V98" s="127"/>
      <c r="W98" s="59"/>
      <c r="X98" s="98"/>
    </row>
    <row r="99" spans="1:24" ht="19.5" customHeight="1">
      <c r="A99" s="54"/>
      <c r="B99" s="63"/>
      <c r="C99" s="1088"/>
      <c r="D99" s="1141" t="s">
        <v>481</v>
      </c>
      <c r="E99" s="68">
        <v>13000</v>
      </c>
      <c r="F99" s="69">
        <v>29800</v>
      </c>
      <c r="G99" s="329">
        <f>F99-E99</f>
        <v>16800</v>
      </c>
      <c r="H99" s="825" t="s">
        <v>681</v>
      </c>
      <c r="I99" s="822">
        <v>2450000</v>
      </c>
      <c r="J99" s="437" t="s">
        <v>3</v>
      </c>
      <c r="K99" s="1112">
        <v>4</v>
      </c>
      <c r="L99" s="1112"/>
      <c r="M99" s="438" t="s">
        <v>608</v>
      </c>
      <c r="N99" s="830"/>
      <c r="O99" s="830"/>
      <c r="P99" s="830"/>
      <c r="Q99" s="830"/>
      <c r="R99" s="830"/>
      <c r="S99" s="830"/>
      <c r="T99" s="830"/>
      <c r="U99" s="862" t="s">
        <v>4</v>
      </c>
      <c r="V99" s="830"/>
      <c r="W99" s="78"/>
      <c r="X99" s="74">
        <f>I99*K99</f>
        <v>9800000</v>
      </c>
    </row>
    <row r="100" spans="1:24" ht="17.25" customHeight="1">
      <c r="A100" s="54"/>
      <c r="B100" s="63"/>
      <c r="C100" s="798"/>
      <c r="D100" s="1145"/>
      <c r="E100" s="69"/>
      <c r="F100" s="69"/>
      <c r="G100" s="314"/>
      <c r="H100" s="471" t="s">
        <v>682</v>
      </c>
      <c r="I100" s="901">
        <v>500000</v>
      </c>
      <c r="J100" s="379" t="s">
        <v>603</v>
      </c>
      <c r="K100" s="1075">
        <v>10</v>
      </c>
      <c r="L100" s="1075"/>
      <c r="M100" s="902" t="s">
        <v>672</v>
      </c>
      <c r="N100" s="902"/>
      <c r="O100" s="195"/>
      <c r="P100" s="195"/>
      <c r="Q100" s="195"/>
      <c r="R100" s="195"/>
      <c r="S100" s="195"/>
      <c r="T100" s="195"/>
      <c r="U100" s="246" t="s">
        <v>615</v>
      </c>
      <c r="V100" s="195"/>
      <c r="W100" s="195"/>
      <c r="X100" s="103">
        <f aca="true" t="shared" si="4" ref="X100:X102">I100*K100</f>
        <v>5000000</v>
      </c>
    </row>
    <row r="101" spans="1:24" ht="17.25" customHeight="1">
      <c r="A101" s="54"/>
      <c r="B101" s="63"/>
      <c r="C101" s="798"/>
      <c r="D101" s="972"/>
      <c r="E101" s="69"/>
      <c r="F101" s="69"/>
      <c r="G101" s="314"/>
      <c r="H101" s="471" t="s">
        <v>683</v>
      </c>
      <c r="I101" s="901">
        <v>1500000</v>
      </c>
      <c r="J101" s="379" t="s">
        <v>603</v>
      </c>
      <c r="K101" s="1075">
        <v>6</v>
      </c>
      <c r="L101" s="1075"/>
      <c r="M101" s="902" t="s">
        <v>672</v>
      </c>
      <c r="N101" s="902"/>
      <c r="O101" s="195"/>
      <c r="P101" s="195"/>
      <c r="Q101" s="195"/>
      <c r="R101" s="195"/>
      <c r="S101" s="195"/>
      <c r="T101" s="195"/>
      <c r="U101" s="246" t="s">
        <v>615</v>
      </c>
      <c r="V101" s="195"/>
      <c r="W101" s="195"/>
      <c r="X101" s="103">
        <f t="shared" si="4"/>
        <v>9000000</v>
      </c>
    </row>
    <row r="102" spans="1:24" ht="17.25" customHeight="1">
      <c r="A102" s="54"/>
      <c r="B102" s="63"/>
      <c r="C102" s="798"/>
      <c r="D102" s="972"/>
      <c r="E102" s="69"/>
      <c r="F102" s="69"/>
      <c r="G102" s="318"/>
      <c r="H102" s="914" t="s">
        <v>684</v>
      </c>
      <c r="I102" s="914">
        <v>1000000</v>
      </c>
      <c r="J102" s="379" t="s">
        <v>603</v>
      </c>
      <c r="K102" s="1075">
        <v>6</v>
      </c>
      <c r="L102" s="1075"/>
      <c r="M102" s="902" t="s">
        <v>672</v>
      </c>
      <c r="N102" s="865"/>
      <c r="O102" s="865"/>
      <c r="P102" s="865"/>
      <c r="Q102" s="865"/>
      <c r="R102" s="865"/>
      <c r="S102" s="865"/>
      <c r="T102" s="865"/>
      <c r="U102" s="865"/>
      <c r="V102" s="195"/>
      <c r="W102" s="195"/>
      <c r="X102" s="103">
        <f t="shared" si="4"/>
        <v>6000000</v>
      </c>
    </row>
    <row r="103" spans="1:24" ht="17.25" customHeight="1">
      <c r="A103" s="54"/>
      <c r="B103" s="816"/>
      <c r="C103" s="1051" t="s">
        <v>482</v>
      </c>
      <c r="D103" s="996"/>
      <c r="E103" s="107">
        <v>23670</v>
      </c>
      <c r="F103" s="107">
        <f>F104</f>
        <v>28641</v>
      </c>
      <c r="G103" s="313">
        <f>F103-E103</f>
        <v>4971</v>
      </c>
      <c r="H103" s="59"/>
      <c r="I103" s="59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59"/>
      <c r="X103" s="98"/>
    </row>
    <row r="104" spans="1:24" ht="17.25" customHeight="1">
      <c r="A104" s="54"/>
      <c r="B104" s="816"/>
      <c r="C104" s="1052"/>
      <c r="D104" s="1141" t="s">
        <v>483</v>
      </c>
      <c r="E104" s="68">
        <v>23670</v>
      </c>
      <c r="F104" s="68">
        <v>28641</v>
      </c>
      <c r="G104" s="318">
        <f>F104-E104</f>
        <v>4971</v>
      </c>
      <c r="H104" s="461" t="s">
        <v>685</v>
      </c>
      <c r="I104" s="909">
        <v>132000</v>
      </c>
      <c r="J104" s="870" t="s">
        <v>606</v>
      </c>
      <c r="K104" s="1080">
        <v>12</v>
      </c>
      <c r="L104" s="1080"/>
      <c r="M104" s="908" t="s">
        <v>624</v>
      </c>
      <c r="N104" s="908"/>
      <c r="O104" s="869"/>
      <c r="P104" s="869"/>
      <c r="Q104" s="869"/>
      <c r="R104" s="869"/>
      <c r="S104" s="869"/>
      <c r="T104" s="869"/>
      <c r="U104" s="246" t="s">
        <v>609</v>
      </c>
      <c r="V104" s="869"/>
      <c r="W104" s="869"/>
      <c r="X104" s="486">
        <f aca="true" t="shared" si="5" ref="X104">I104*K104</f>
        <v>1584000</v>
      </c>
    </row>
    <row r="105" spans="1:24" ht="17.25" customHeight="1">
      <c r="A105" s="54"/>
      <c r="B105" s="816"/>
      <c r="C105" s="1052"/>
      <c r="D105" s="1145"/>
      <c r="E105" s="69"/>
      <c r="F105" s="69"/>
      <c r="G105" s="318"/>
      <c r="H105" s="195" t="s">
        <v>686</v>
      </c>
      <c r="I105" s="914">
        <v>110000</v>
      </c>
      <c r="J105" s="379" t="s">
        <v>606</v>
      </c>
      <c r="K105" s="1075">
        <v>12</v>
      </c>
      <c r="L105" s="1075"/>
      <c r="M105" s="902" t="s">
        <v>624</v>
      </c>
      <c r="N105" s="195"/>
      <c r="O105" s="195"/>
      <c r="P105" s="195"/>
      <c r="Q105" s="195"/>
      <c r="R105" s="195"/>
      <c r="S105" s="195"/>
      <c r="T105" s="195"/>
      <c r="U105" s="246" t="s">
        <v>609</v>
      </c>
      <c r="V105" s="195"/>
      <c r="W105" s="195"/>
      <c r="X105" s="103">
        <f>I105*K105</f>
        <v>1320000</v>
      </c>
    </row>
    <row r="106" spans="1:24" ht="17.25" customHeight="1">
      <c r="A106" s="54"/>
      <c r="B106" s="378"/>
      <c r="C106" s="787"/>
      <c r="D106" s="972"/>
      <c r="E106" s="69"/>
      <c r="F106" s="69"/>
      <c r="G106" s="319"/>
      <c r="H106" s="195" t="s">
        <v>687</v>
      </c>
      <c r="I106" s="914">
        <v>934125</v>
      </c>
      <c r="J106" s="379" t="s">
        <v>606</v>
      </c>
      <c r="K106" s="1075">
        <v>4</v>
      </c>
      <c r="L106" s="1075"/>
      <c r="M106" s="902" t="s">
        <v>624</v>
      </c>
      <c r="N106" s="195"/>
      <c r="O106" s="195"/>
      <c r="P106" s="195"/>
      <c r="Q106" s="195"/>
      <c r="R106" s="195"/>
      <c r="S106" s="195"/>
      <c r="T106" s="195"/>
      <c r="U106" s="246" t="s">
        <v>609</v>
      </c>
      <c r="V106" s="195"/>
      <c r="W106" s="195"/>
      <c r="X106" s="103">
        <f>I106*K106</f>
        <v>3736500</v>
      </c>
    </row>
    <row r="107" spans="1:24" ht="17.25" customHeight="1" thickBot="1">
      <c r="A107" s="80"/>
      <c r="B107" s="819"/>
      <c r="C107" s="294"/>
      <c r="D107" s="477"/>
      <c r="E107" s="109"/>
      <c r="F107" s="109"/>
      <c r="G107" s="989"/>
      <c r="H107" s="861"/>
      <c r="I107" s="588"/>
      <c r="J107" s="443"/>
      <c r="K107" s="1147"/>
      <c r="L107" s="1147"/>
      <c r="M107" s="538"/>
      <c r="N107" s="136"/>
      <c r="O107" s="136"/>
      <c r="P107" s="136"/>
      <c r="Q107" s="136"/>
      <c r="R107" s="136"/>
      <c r="S107" s="136"/>
      <c r="T107" s="136"/>
      <c r="U107" s="523"/>
      <c r="V107" s="136"/>
      <c r="W107" s="136"/>
      <c r="X107" s="922"/>
    </row>
    <row r="108" spans="1:24" ht="19.5" customHeight="1">
      <c r="A108" s="1085" t="str">
        <f>A93</f>
        <v>02.재산   조정비</v>
      </c>
      <c r="B108" s="1055" t="str">
        <f>B94</f>
        <v>21.시설비</v>
      </c>
      <c r="C108" s="1055" t="str">
        <f>C103</f>
        <v>213.시설장비유지비</v>
      </c>
      <c r="D108" s="1151" t="str">
        <f>D104</f>
        <v>2131.시설장비유지비</v>
      </c>
      <c r="E108" s="205"/>
      <c r="F108" s="205"/>
      <c r="G108" s="602"/>
      <c r="H108" s="195" t="s">
        <v>688</v>
      </c>
      <c r="I108" s="914">
        <v>500000</v>
      </c>
      <c r="J108" s="379" t="s">
        <v>606</v>
      </c>
      <c r="K108" s="1075">
        <v>1</v>
      </c>
      <c r="L108" s="1075"/>
      <c r="M108" s="902" t="s">
        <v>608</v>
      </c>
      <c r="N108" s="195"/>
      <c r="O108" s="195"/>
      <c r="P108" s="195"/>
      <c r="Q108" s="195"/>
      <c r="R108" s="195"/>
      <c r="S108" s="195"/>
      <c r="T108" s="195"/>
      <c r="U108" s="246" t="s">
        <v>609</v>
      </c>
      <c r="V108" s="195"/>
      <c r="W108" s="195"/>
      <c r="X108" s="103">
        <f aca="true" t="shared" si="6" ref="X108:X114">I108*K108</f>
        <v>500000</v>
      </c>
    </row>
    <row r="109" spans="1:24" ht="19.5" customHeight="1">
      <c r="A109" s="1086"/>
      <c r="B109" s="1052"/>
      <c r="C109" s="1052"/>
      <c r="D109" s="1145"/>
      <c r="E109" s="69"/>
      <c r="F109" s="69"/>
      <c r="G109" s="798"/>
      <c r="H109" s="195" t="s">
        <v>689</v>
      </c>
      <c r="I109" s="914">
        <v>300000</v>
      </c>
      <c r="J109" s="379" t="s">
        <v>606</v>
      </c>
      <c r="K109" s="1075">
        <v>4</v>
      </c>
      <c r="L109" s="1075"/>
      <c r="M109" s="902" t="s">
        <v>608</v>
      </c>
      <c r="N109" s="195"/>
      <c r="O109" s="195"/>
      <c r="P109" s="195"/>
      <c r="Q109" s="195"/>
      <c r="R109" s="195"/>
      <c r="S109" s="195"/>
      <c r="T109" s="195"/>
      <c r="U109" s="246" t="s">
        <v>609</v>
      </c>
      <c r="V109" s="195"/>
      <c r="W109" s="195"/>
      <c r="X109" s="103">
        <f t="shared" si="6"/>
        <v>1200000</v>
      </c>
    </row>
    <row r="110" spans="1:24" ht="19.5" customHeight="1">
      <c r="A110" s="54"/>
      <c r="B110" s="63"/>
      <c r="C110" s="1052"/>
      <c r="D110" s="1145"/>
      <c r="E110" s="69"/>
      <c r="F110" s="69"/>
      <c r="G110" s="798"/>
      <c r="H110" s="195" t="s">
        <v>690</v>
      </c>
      <c r="I110" s="914">
        <v>2000000</v>
      </c>
      <c r="J110" s="379" t="s">
        <v>606</v>
      </c>
      <c r="K110" s="1075">
        <v>5</v>
      </c>
      <c r="L110" s="1075"/>
      <c r="M110" s="902" t="s">
        <v>691</v>
      </c>
      <c r="N110" s="195"/>
      <c r="O110" s="195"/>
      <c r="P110" s="195"/>
      <c r="Q110" s="195"/>
      <c r="R110" s="195"/>
      <c r="S110" s="195"/>
      <c r="T110" s="195"/>
      <c r="U110" s="246" t="s">
        <v>609</v>
      </c>
      <c r="V110" s="195"/>
      <c r="W110" s="195"/>
      <c r="X110" s="103">
        <f t="shared" si="6"/>
        <v>10000000</v>
      </c>
    </row>
    <row r="111" spans="1:24" ht="19.5" customHeight="1">
      <c r="A111" s="54"/>
      <c r="B111" s="63"/>
      <c r="C111" s="798"/>
      <c r="D111" s="972"/>
      <c r="E111" s="69"/>
      <c r="F111" s="69"/>
      <c r="G111" s="798"/>
      <c r="H111" s="195" t="s">
        <v>692</v>
      </c>
      <c r="I111" s="914">
        <v>2500000</v>
      </c>
      <c r="J111" s="379" t="s">
        <v>606</v>
      </c>
      <c r="K111" s="1075">
        <v>1</v>
      </c>
      <c r="L111" s="1075"/>
      <c r="M111" s="902" t="s">
        <v>608</v>
      </c>
      <c r="N111" s="195"/>
      <c r="O111" s="195"/>
      <c r="P111" s="195"/>
      <c r="Q111" s="195"/>
      <c r="R111" s="195"/>
      <c r="S111" s="195"/>
      <c r="T111" s="195"/>
      <c r="U111" s="246" t="s">
        <v>609</v>
      </c>
      <c r="V111" s="195"/>
      <c r="W111" s="195"/>
      <c r="X111" s="103">
        <f t="shared" si="6"/>
        <v>2500000</v>
      </c>
    </row>
    <row r="112" spans="1:24" ht="19.5" customHeight="1">
      <c r="A112" s="54"/>
      <c r="B112" s="63"/>
      <c r="C112" s="798"/>
      <c r="D112" s="972"/>
      <c r="E112" s="69"/>
      <c r="F112" s="69"/>
      <c r="G112" s="798"/>
      <c r="H112" s="195"/>
      <c r="I112" s="195"/>
      <c r="J112" s="379"/>
      <c r="K112" s="1135"/>
      <c r="L112" s="1135"/>
      <c r="M112" s="1068"/>
      <c r="N112" s="1068"/>
      <c r="O112" s="195"/>
      <c r="P112" s="455"/>
      <c r="Q112" s="455"/>
      <c r="R112" s="455"/>
      <c r="S112" s="455"/>
      <c r="T112" s="455"/>
      <c r="U112" s="246"/>
      <c r="V112" s="246"/>
      <c r="W112" s="431"/>
      <c r="X112" s="103"/>
    </row>
    <row r="113" spans="1:24" ht="15" customHeight="1">
      <c r="A113" s="54"/>
      <c r="B113" s="378"/>
      <c r="C113" s="525"/>
      <c r="D113" s="984"/>
      <c r="E113" s="69"/>
      <c r="F113" s="69"/>
      <c r="G113" s="63"/>
      <c r="H113" s="195" t="s">
        <v>693</v>
      </c>
      <c r="I113" s="914">
        <v>150000</v>
      </c>
      <c r="J113" s="379" t="s">
        <v>606</v>
      </c>
      <c r="K113" s="1075">
        <v>12</v>
      </c>
      <c r="L113" s="1075"/>
      <c r="M113" s="902" t="s">
        <v>608</v>
      </c>
      <c r="N113" s="195"/>
      <c r="O113" s="195"/>
      <c r="P113" s="195"/>
      <c r="Q113" s="195"/>
      <c r="R113" s="195"/>
      <c r="S113" s="195"/>
      <c r="T113" s="195"/>
      <c r="U113" s="246" t="s">
        <v>609</v>
      </c>
      <c r="V113" s="195"/>
      <c r="W113" s="195"/>
      <c r="X113" s="103">
        <f>I113*K113</f>
        <v>1800000</v>
      </c>
    </row>
    <row r="114" spans="1:24" ht="17.25" customHeight="1">
      <c r="A114" s="54"/>
      <c r="B114" s="378"/>
      <c r="C114" s="787"/>
      <c r="D114" s="972"/>
      <c r="E114" s="69"/>
      <c r="F114" s="69"/>
      <c r="G114" s="319"/>
      <c r="H114" s="863" t="s">
        <v>694</v>
      </c>
      <c r="I114" s="914">
        <v>500000</v>
      </c>
      <c r="J114" s="379" t="s">
        <v>606</v>
      </c>
      <c r="K114" s="1075">
        <v>12</v>
      </c>
      <c r="L114" s="1075"/>
      <c r="M114" s="902" t="s">
        <v>608</v>
      </c>
      <c r="N114" s="195"/>
      <c r="O114" s="195"/>
      <c r="P114" s="195"/>
      <c r="Q114" s="195"/>
      <c r="R114" s="195"/>
      <c r="S114" s="195"/>
      <c r="T114" s="195"/>
      <c r="U114" s="246" t="s">
        <v>609</v>
      </c>
      <c r="V114" s="246"/>
      <c r="W114" s="431"/>
      <c r="X114" s="103">
        <f t="shared" si="6"/>
        <v>6000000</v>
      </c>
    </row>
    <row r="115" spans="1:24" ht="19.5" customHeight="1" thickBot="1">
      <c r="A115" s="54"/>
      <c r="B115" s="63"/>
      <c r="C115" s="63"/>
      <c r="D115" s="972"/>
      <c r="E115" s="69"/>
      <c r="F115" s="69"/>
      <c r="G115" s="798"/>
      <c r="H115" s="800"/>
      <c r="I115" s="398"/>
      <c r="J115" s="435"/>
      <c r="K115" s="1152"/>
      <c r="L115" s="1152"/>
      <c r="M115" s="436"/>
      <c r="N115" s="804"/>
      <c r="O115" s="804"/>
      <c r="P115" s="804"/>
      <c r="Q115" s="804"/>
      <c r="R115" s="804"/>
      <c r="S115" s="804"/>
      <c r="T115" s="804"/>
      <c r="U115" s="794"/>
      <c r="V115" s="794"/>
      <c r="W115" s="66"/>
      <c r="X115" s="95"/>
    </row>
    <row r="116" spans="1:24" ht="17.25" customHeight="1">
      <c r="A116" s="1085" t="s">
        <v>484</v>
      </c>
      <c r="B116" s="446"/>
      <c r="C116" s="406"/>
      <c r="D116" s="1001"/>
      <c r="E116" s="194">
        <v>170852</v>
      </c>
      <c r="F116" s="194">
        <f>F117+F157+F173</f>
        <v>173592</v>
      </c>
      <c r="G116" s="322">
        <f>F116-E116</f>
        <v>2740</v>
      </c>
      <c r="H116" s="447"/>
      <c r="I116" s="447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85"/>
      <c r="X116" s="97"/>
    </row>
    <row r="117" spans="1:24" ht="17.25" customHeight="1">
      <c r="A117" s="1086"/>
      <c r="B117" s="77" t="s">
        <v>485</v>
      </c>
      <c r="C117" s="77"/>
      <c r="D117" s="996"/>
      <c r="E117" s="107">
        <v>137543</v>
      </c>
      <c r="F117" s="107">
        <f>F118+F126+F133+F137+F140+F152</f>
        <v>142879</v>
      </c>
      <c r="G117" s="313">
        <f>F117-E117</f>
        <v>5336</v>
      </c>
      <c r="H117" s="127"/>
      <c r="I117" s="130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429"/>
      <c r="U117" s="127"/>
      <c r="V117" s="127"/>
      <c r="W117" s="59"/>
      <c r="X117" s="98"/>
    </row>
    <row r="118" spans="1:24" ht="17.25" customHeight="1">
      <c r="A118" s="54"/>
      <c r="B118" s="63"/>
      <c r="C118" s="1051" t="s">
        <v>486</v>
      </c>
      <c r="D118" s="1002"/>
      <c r="E118" s="107">
        <v>83093</v>
      </c>
      <c r="F118" s="107">
        <f>F119+F124</f>
        <v>94263</v>
      </c>
      <c r="G118" s="313">
        <f>F118-E118</f>
        <v>11170</v>
      </c>
      <c r="H118" s="127"/>
      <c r="I118" s="130"/>
      <c r="J118" s="429"/>
      <c r="K118" s="429"/>
      <c r="L118" s="429"/>
      <c r="M118" s="429"/>
      <c r="N118" s="429"/>
      <c r="O118" s="429"/>
      <c r="P118" s="429"/>
      <c r="Q118" s="429"/>
      <c r="R118" s="429"/>
      <c r="S118" s="429"/>
      <c r="T118" s="429"/>
      <c r="U118" s="127"/>
      <c r="V118" s="127"/>
      <c r="W118" s="59"/>
      <c r="X118" s="98"/>
    </row>
    <row r="119" spans="1:24" ht="20.25" customHeight="1">
      <c r="A119" s="54"/>
      <c r="B119" s="63"/>
      <c r="C119" s="1052"/>
      <c r="D119" s="1150" t="s">
        <v>487</v>
      </c>
      <c r="E119" s="69">
        <v>81700</v>
      </c>
      <c r="F119" s="69">
        <v>92933</v>
      </c>
      <c r="G119" s="318">
        <f>F119-E119</f>
        <v>11233</v>
      </c>
      <c r="H119" s="901" t="s">
        <v>695</v>
      </c>
      <c r="I119" s="195">
        <v>2000</v>
      </c>
      <c r="J119" s="379" t="s">
        <v>603</v>
      </c>
      <c r="K119" s="1135">
        <v>30</v>
      </c>
      <c r="L119" s="1135"/>
      <c r="M119" s="455" t="s">
        <v>604</v>
      </c>
      <c r="N119" s="379" t="s">
        <v>603</v>
      </c>
      <c r="O119" s="1135">
        <v>365</v>
      </c>
      <c r="P119" s="1135"/>
      <c r="Q119" s="1135" t="s">
        <v>696</v>
      </c>
      <c r="R119" s="1135"/>
      <c r="S119" s="455"/>
      <c r="T119" s="455"/>
      <c r="U119" s="246" t="s">
        <v>615</v>
      </c>
      <c r="V119" s="246"/>
      <c r="W119" s="431"/>
      <c r="X119" s="103">
        <f>ROUNDDOWN((I119*K119*O119),-1)</f>
        <v>21900000</v>
      </c>
    </row>
    <row r="120" spans="1:24" ht="20.25" customHeight="1">
      <c r="A120" s="54"/>
      <c r="B120" s="63"/>
      <c r="C120" s="525"/>
      <c r="D120" s="1150"/>
      <c r="E120" s="69"/>
      <c r="F120" s="69"/>
      <c r="G120" s="63"/>
      <c r="H120" s="901" t="s">
        <v>697</v>
      </c>
      <c r="I120" s="195">
        <v>5350</v>
      </c>
      <c r="J120" s="379" t="s">
        <v>603</v>
      </c>
      <c r="K120" s="1135">
        <v>30</v>
      </c>
      <c r="L120" s="1135"/>
      <c r="M120" s="455" t="s">
        <v>604</v>
      </c>
      <c r="N120" s="379" t="s">
        <v>603</v>
      </c>
      <c r="O120" s="1135">
        <v>365</v>
      </c>
      <c r="P120" s="1135"/>
      <c r="Q120" s="1135" t="s">
        <v>696</v>
      </c>
      <c r="R120" s="1135"/>
      <c r="S120" s="455"/>
      <c r="T120" s="455"/>
      <c r="U120" s="246" t="s">
        <v>615</v>
      </c>
      <c r="V120" s="246"/>
      <c r="W120" s="431"/>
      <c r="X120" s="103">
        <f>ROUNDDOWN((I120*K120*O120),-1)</f>
        <v>58582500</v>
      </c>
    </row>
    <row r="121" spans="1:24" ht="20.25" customHeight="1">
      <c r="A121" s="54"/>
      <c r="B121" s="63"/>
      <c r="C121" s="525"/>
      <c r="D121" s="975"/>
      <c r="E121" s="69"/>
      <c r="F121" s="69"/>
      <c r="G121" s="63"/>
      <c r="H121" s="901" t="s">
        <v>698</v>
      </c>
      <c r="I121" s="195">
        <v>2000</v>
      </c>
      <c r="J121" s="379" t="s">
        <v>603</v>
      </c>
      <c r="K121" s="1135">
        <v>20</v>
      </c>
      <c r="L121" s="1135"/>
      <c r="M121" s="455" t="s">
        <v>604</v>
      </c>
      <c r="N121" s="379" t="s">
        <v>603</v>
      </c>
      <c r="O121" s="1135">
        <v>300</v>
      </c>
      <c r="P121" s="1135"/>
      <c r="Q121" s="1135" t="s">
        <v>696</v>
      </c>
      <c r="R121" s="1135"/>
      <c r="S121" s="455"/>
      <c r="T121" s="455"/>
      <c r="U121" s="246" t="s">
        <v>615</v>
      </c>
      <c r="V121" s="246"/>
      <c r="W121" s="431"/>
      <c r="X121" s="103">
        <f>ROUNDDOWN((I121*K121*O121),-1)</f>
        <v>12000000</v>
      </c>
    </row>
    <row r="122" spans="1:24" ht="20.25" customHeight="1">
      <c r="A122" s="54"/>
      <c r="B122" s="63"/>
      <c r="C122" s="525"/>
      <c r="D122" s="975"/>
      <c r="E122" s="69"/>
      <c r="F122" s="69"/>
      <c r="G122" s="63"/>
      <c r="H122" s="863"/>
      <c r="I122" s="195"/>
      <c r="J122" s="379" t="s">
        <v>603</v>
      </c>
      <c r="K122" s="1135">
        <v>1</v>
      </c>
      <c r="L122" s="1135"/>
      <c r="M122" s="455" t="s">
        <v>605</v>
      </c>
      <c r="N122" s="246"/>
      <c r="O122" s="865"/>
      <c r="P122" s="246"/>
      <c r="Q122" s="246"/>
      <c r="R122" s="246"/>
      <c r="S122" s="246"/>
      <c r="T122" s="246"/>
      <c r="U122" s="246" t="s">
        <v>632</v>
      </c>
      <c r="V122" s="246"/>
      <c r="W122" s="431"/>
      <c r="X122" s="103">
        <f>I122*K122</f>
        <v>0</v>
      </c>
    </row>
    <row r="123" spans="1:24" ht="20.25" customHeight="1">
      <c r="A123" s="54"/>
      <c r="B123" s="63"/>
      <c r="C123" s="525"/>
      <c r="D123" s="975"/>
      <c r="E123" s="69"/>
      <c r="F123" s="69"/>
      <c r="G123" s="63"/>
      <c r="H123" s="911" t="s">
        <v>699</v>
      </c>
      <c r="I123" s="876">
        <v>450000</v>
      </c>
      <c r="J123" s="877" t="s">
        <v>603</v>
      </c>
      <c r="K123" s="1143">
        <v>1</v>
      </c>
      <c r="L123" s="1143"/>
      <c r="M123" s="916" t="s">
        <v>605</v>
      </c>
      <c r="N123" s="906"/>
      <c r="O123" s="895"/>
      <c r="P123" s="906"/>
      <c r="Q123" s="906"/>
      <c r="R123" s="906"/>
      <c r="S123" s="906"/>
      <c r="T123" s="906"/>
      <c r="U123" s="906" t="s">
        <v>632</v>
      </c>
      <c r="V123" s="906"/>
      <c r="W123" s="542"/>
      <c r="X123" s="102">
        <f>I123*K123</f>
        <v>450000</v>
      </c>
    </row>
    <row r="124" spans="1:24" ht="22.5" customHeight="1">
      <c r="A124" s="54"/>
      <c r="B124" s="63"/>
      <c r="C124" s="525"/>
      <c r="D124" s="1141" t="s">
        <v>488</v>
      </c>
      <c r="E124" s="68">
        <v>1393</v>
      </c>
      <c r="F124" s="68">
        <v>1330</v>
      </c>
      <c r="G124" s="316">
        <f>F124-E124</f>
        <v>-63</v>
      </c>
      <c r="H124" s="471" t="s">
        <v>700</v>
      </c>
      <c r="I124" s="1068" t="s">
        <v>701</v>
      </c>
      <c r="J124" s="1068"/>
      <c r="K124" s="1068"/>
      <c r="L124" s="1068"/>
      <c r="M124" s="1068"/>
      <c r="N124" s="1068"/>
      <c r="O124" s="1068"/>
      <c r="P124" s="1068"/>
      <c r="Q124" s="1068"/>
      <c r="R124" s="1068"/>
      <c r="S124" s="379"/>
      <c r="T124" s="379"/>
      <c r="U124" s="380" t="s">
        <v>615</v>
      </c>
      <c r="V124" s="380"/>
      <c r="W124" s="106"/>
      <c r="X124" s="866">
        <v>665000</v>
      </c>
    </row>
    <row r="125" spans="1:24" ht="17.25" customHeight="1">
      <c r="A125" s="54"/>
      <c r="B125" s="63"/>
      <c r="C125" s="525"/>
      <c r="D125" s="1142"/>
      <c r="E125" s="73"/>
      <c r="F125" s="73"/>
      <c r="G125" s="793"/>
      <c r="H125" s="911" t="s">
        <v>702</v>
      </c>
      <c r="I125" s="1153" t="s">
        <v>701</v>
      </c>
      <c r="J125" s="1153"/>
      <c r="K125" s="1153"/>
      <c r="L125" s="1153"/>
      <c r="M125" s="1153"/>
      <c r="N125" s="1153"/>
      <c r="O125" s="1153"/>
      <c r="P125" s="1153"/>
      <c r="Q125" s="1153"/>
      <c r="R125" s="1153"/>
      <c r="S125" s="877"/>
      <c r="T125" s="877"/>
      <c r="U125" s="879" t="s">
        <v>615</v>
      </c>
      <c r="V125" s="879"/>
      <c r="W125" s="482"/>
      <c r="X125" s="867">
        <v>665000</v>
      </c>
    </row>
    <row r="126" spans="1:24" ht="21" customHeight="1">
      <c r="A126" s="54"/>
      <c r="B126" s="63"/>
      <c r="C126" s="1154" t="s">
        <v>489</v>
      </c>
      <c r="D126" s="1003"/>
      <c r="E126" s="107">
        <v>8400</v>
      </c>
      <c r="F126" s="107">
        <f>F127</f>
        <v>3556</v>
      </c>
      <c r="G126" s="321">
        <f>F126-E126</f>
        <v>-4844</v>
      </c>
      <c r="H126" s="808"/>
      <c r="I126" s="522"/>
      <c r="J126" s="824"/>
      <c r="K126" s="824"/>
      <c r="L126" s="824"/>
      <c r="M126" s="824"/>
      <c r="N126" s="824"/>
      <c r="O126" s="824"/>
      <c r="P126" s="824"/>
      <c r="Q126" s="824"/>
      <c r="R126" s="824"/>
      <c r="S126" s="824"/>
      <c r="T126" s="824"/>
      <c r="U126" s="808"/>
      <c r="V126" s="808"/>
      <c r="W126" s="52"/>
      <c r="X126" s="96"/>
    </row>
    <row r="127" spans="1:24" ht="18" customHeight="1">
      <c r="A127" s="54"/>
      <c r="B127" s="63"/>
      <c r="C127" s="1155"/>
      <c r="D127" s="1141" t="s">
        <v>490</v>
      </c>
      <c r="E127" s="68">
        <v>8400</v>
      </c>
      <c r="F127" s="444">
        <v>3556</v>
      </c>
      <c r="G127" s="316">
        <f>F127-E127</f>
        <v>-4844</v>
      </c>
      <c r="H127" s="901" t="s">
        <v>703</v>
      </c>
      <c r="I127" s="914">
        <v>104875</v>
      </c>
      <c r="J127" s="379" t="s">
        <v>603</v>
      </c>
      <c r="K127" s="1080">
        <v>3</v>
      </c>
      <c r="L127" s="1080"/>
      <c r="M127" s="902" t="s">
        <v>614</v>
      </c>
      <c r="N127" s="902"/>
      <c r="O127" s="195"/>
      <c r="P127" s="195"/>
      <c r="Q127" s="195"/>
      <c r="R127" s="195"/>
      <c r="S127" s="195"/>
      <c r="T127" s="195"/>
      <c r="U127" s="246" t="s">
        <v>615</v>
      </c>
      <c r="V127" s="195"/>
      <c r="W127" s="195"/>
      <c r="X127" s="103">
        <f>I127*K127</f>
        <v>314625</v>
      </c>
    </row>
    <row r="128" spans="1:24" ht="18" customHeight="1">
      <c r="A128" s="54"/>
      <c r="B128" s="525"/>
      <c r="C128" s="142"/>
      <c r="D128" s="1145"/>
      <c r="E128" s="69"/>
      <c r="F128" s="69"/>
      <c r="G128" s="319"/>
      <c r="H128" s="901" t="s">
        <v>704</v>
      </c>
      <c r="I128" s="914">
        <v>145125</v>
      </c>
      <c r="J128" s="379" t="s">
        <v>603</v>
      </c>
      <c r="K128" s="1075">
        <v>12</v>
      </c>
      <c r="L128" s="1075"/>
      <c r="M128" s="902" t="s">
        <v>614</v>
      </c>
      <c r="N128" s="195"/>
      <c r="O128" s="195"/>
      <c r="P128" s="195"/>
      <c r="Q128" s="195"/>
      <c r="R128" s="195"/>
      <c r="S128" s="195"/>
      <c r="T128" s="195"/>
      <c r="U128" s="246" t="s">
        <v>615</v>
      </c>
      <c r="V128" s="195"/>
      <c r="W128" s="195"/>
      <c r="X128" s="103">
        <f>I128*K128</f>
        <v>1741500</v>
      </c>
    </row>
    <row r="129" spans="1:24" ht="18" customHeight="1">
      <c r="A129" s="54"/>
      <c r="B129" s="525"/>
      <c r="C129" s="142"/>
      <c r="D129" s="972"/>
      <c r="E129" s="69"/>
      <c r="F129" s="69"/>
      <c r="G129" s="319"/>
      <c r="H129" s="901" t="s">
        <v>705</v>
      </c>
      <c r="I129" s="914">
        <v>200000</v>
      </c>
      <c r="J129" s="379" t="s">
        <v>603</v>
      </c>
      <c r="K129" s="1075">
        <v>3</v>
      </c>
      <c r="L129" s="1075"/>
      <c r="M129" s="902" t="s">
        <v>614</v>
      </c>
      <c r="N129" s="195"/>
      <c r="O129" s="195"/>
      <c r="P129" s="195"/>
      <c r="Q129" s="195"/>
      <c r="R129" s="195"/>
      <c r="S129" s="195"/>
      <c r="T129" s="195"/>
      <c r="U129" s="246" t="s">
        <v>615</v>
      </c>
      <c r="V129" s="195"/>
      <c r="W129" s="195"/>
      <c r="X129" s="103">
        <f aca="true" t="shared" si="7" ref="X129:X132">I129*K129</f>
        <v>600000</v>
      </c>
    </row>
    <row r="130" spans="1:24" ht="18" customHeight="1">
      <c r="A130" s="54"/>
      <c r="B130" s="525"/>
      <c r="C130" s="142"/>
      <c r="D130" s="972"/>
      <c r="E130" s="69"/>
      <c r="F130" s="69"/>
      <c r="G130" s="319"/>
      <c r="H130" s="901" t="s">
        <v>706</v>
      </c>
      <c r="I130" s="914">
        <v>150000</v>
      </c>
      <c r="J130" s="379" t="s">
        <v>603</v>
      </c>
      <c r="K130" s="1075">
        <v>3</v>
      </c>
      <c r="L130" s="1075"/>
      <c r="M130" s="902" t="s">
        <v>605</v>
      </c>
      <c r="N130" s="195"/>
      <c r="O130" s="195"/>
      <c r="P130" s="195"/>
      <c r="Q130" s="195"/>
      <c r="R130" s="195"/>
      <c r="S130" s="195"/>
      <c r="T130" s="195"/>
      <c r="U130" s="246" t="s">
        <v>615</v>
      </c>
      <c r="V130" s="195"/>
      <c r="W130" s="195"/>
      <c r="X130" s="103">
        <f t="shared" si="7"/>
        <v>450000</v>
      </c>
    </row>
    <row r="131" spans="1:24" ht="18" customHeight="1">
      <c r="A131" s="54"/>
      <c r="B131" s="525"/>
      <c r="C131" s="142"/>
      <c r="D131" s="972"/>
      <c r="E131" s="69"/>
      <c r="F131" s="69"/>
      <c r="G131" s="319"/>
      <c r="H131" s="934" t="s">
        <v>707</v>
      </c>
      <c r="I131" s="914">
        <v>100000</v>
      </c>
      <c r="J131" s="379" t="s">
        <v>603</v>
      </c>
      <c r="K131" s="1075">
        <v>3</v>
      </c>
      <c r="L131" s="1075"/>
      <c r="M131" s="902" t="s">
        <v>614</v>
      </c>
      <c r="N131" s="195"/>
      <c r="O131" s="195"/>
      <c r="P131" s="195"/>
      <c r="Q131" s="195"/>
      <c r="R131" s="195"/>
      <c r="S131" s="195"/>
      <c r="T131" s="195"/>
      <c r="U131" s="246" t="s">
        <v>615</v>
      </c>
      <c r="V131" s="195"/>
      <c r="W131" s="195"/>
      <c r="X131" s="103">
        <f t="shared" si="7"/>
        <v>300000</v>
      </c>
    </row>
    <row r="132" spans="1:24" ht="18" customHeight="1">
      <c r="A132" s="54"/>
      <c r="B132" s="525"/>
      <c r="C132" s="142"/>
      <c r="D132" s="971"/>
      <c r="E132" s="73"/>
      <c r="F132" s="73"/>
      <c r="G132" s="439"/>
      <c r="H132" s="904" t="s">
        <v>708</v>
      </c>
      <c r="I132" s="914">
        <v>50000</v>
      </c>
      <c r="J132" s="379" t="s">
        <v>603</v>
      </c>
      <c r="K132" s="1075">
        <v>3</v>
      </c>
      <c r="L132" s="1075"/>
      <c r="M132" s="902" t="s">
        <v>614</v>
      </c>
      <c r="N132" s="195"/>
      <c r="O132" s="195"/>
      <c r="P132" s="195"/>
      <c r="Q132" s="195"/>
      <c r="R132" s="195"/>
      <c r="S132" s="195"/>
      <c r="T132" s="195"/>
      <c r="U132" s="246" t="s">
        <v>615</v>
      </c>
      <c r="V132" s="195"/>
      <c r="W132" s="195"/>
      <c r="X132" s="103">
        <f t="shared" si="7"/>
        <v>150000</v>
      </c>
    </row>
    <row r="133" spans="1:24" ht="19.5" customHeight="1">
      <c r="A133" s="54"/>
      <c r="B133" s="525"/>
      <c r="C133" s="1051" t="s">
        <v>491</v>
      </c>
      <c r="D133" s="975"/>
      <c r="E133" s="69">
        <v>7800</v>
      </c>
      <c r="F133" s="69">
        <f>F134</f>
        <v>3050</v>
      </c>
      <c r="G133" s="318">
        <f>F133-E133</f>
        <v>-4750</v>
      </c>
      <c r="H133" s="59"/>
      <c r="I133" s="59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836"/>
      <c r="V133" s="127"/>
      <c r="W133" s="59"/>
      <c r="X133" s="98"/>
    </row>
    <row r="134" spans="1:24" ht="17.25" customHeight="1">
      <c r="A134" s="54"/>
      <c r="B134" s="525"/>
      <c r="C134" s="1052"/>
      <c r="D134" s="986" t="s">
        <v>492</v>
      </c>
      <c r="E134" s="68">
        <v>7800</v>
      </c>
      <c r="F134" s="68">
        <v>3050</v>
      </c>
      <c r="G134" s="317">
        <f>F134-E134</f>
        <v>-4750</v>
      </c>
      <c r="H134" s="471" t="s">
        <v>709</v>
      </c>
      <c r="I134" s="195">
        <v>50000</v>
      </c>
      <c r="J134" s="379" t="s">
        <v>603</v>
      </c>
      <c r="K134" s="1132">
        <v>10</v>
      </c>
      <c r="L134" s="1132"/>
      <c r="M134" s="455" t="s">
        <v>604</v>
      </c>
      <c r="N134" s="379" t="s">
        <v>603</v>
      </c>
      <c r="O134" s="455"/>
      <c r="P134" s="455">
        <v>1</v>
      </c>
      <c r="Q134" s="455" t="s">
        <v>605</v>
      </c>
      <c r="R134" s="455"/>
      <c r="S134" s="455"/>
      <c r="T134" s="455"/>
      <c r="U134" s="246" t="s">
        <v>615</v>
      </c>
      <c r="V134" s="246"/>
      <c r="W134" s="431"/>
      <c r="X134" s="103">
        <f>ROUNDDOWN((I134*K134*P134),-1)</f>
        <v>500000</v>
      </c>
    </row>
    <row r="135" spans="1:24" ht="17.25" customHeight="1">
      <c r="A135" s="54"/>
      <c r="B135" s="525"/>
      <c r="C135" s="63"/>
      <c r="D135" s="984"/>
      <c r="E135" s="69"/>
      <c r="F135" s="69"/>
      <c r="G135" s="63"/>
      <c r="H135" s="471" t="s">
        <v>710</v>
      </c>
      <c r="I135" s="195">
        <v>30000</v>
      </c>
      <c r="J135" s="379" t="s">
        <v>603</v>
      </c>
      <c r="K135" s="1135">
        <v>10</v>
      </c>
      <c r="L135" s="1135"/>
      <c r="M135" s="455" t="s">
        <v>604</v>
      </c>
      <c r="N135" s="379" t="s">
        <v>603</v>
      </c>
      <c r="O135" s="455"/>
      <c r="P135" s="455">
        <v>1</v>
      </c>
      <c r="Q135" s="455" t="s">
        <v>605</v>
      </c>
      <c r="R135" s="455"/>
      <c r="S135" s="455"/>
      <c r="T135" s="455"/>
      <c r="U135" s="246" t="s">
        <v>615</v>
      </c>
      <c r="V135" s="246"/>
      <c r="W135" s="431"/>
      <c r="X135" s="103">
        <f>ROUNDDOWN((I135*K135*P135),-1)</f>
        <v>300000</v>
      </c>
    </row>
    <row r="136" spans="1:24" ht="17.25" customHeight="1">
      <c r="A136" s="54"/>
      <c r="B136" s="525"/>
      <c r="C136" s="63"/>
      <c r="D136" s="984"/>
      <c r="E136" s="73"/>
      <c r="F136" s="73"/>
      <c r="G136" s="57"/>
      <c r="H136" s="935" t="s">
        <v>711</v>
      </c>
      <c r="I136" s="876">
        <v>40000</v>
      </c>
      <c r="J136" s="877" t="s">
        <v>603</v>
      </c>
      <c r="K136" s="1143">
        <v>30</v>
      </c>
      <c r="L136" s="1143"/>
      <c r="M136" s="916" t="s">
        <v>604</v>
      </c>
      <c r="N136" s="877" t="s">
        <v>603</v>
      </c>
      <c r="O136" s="916"/>
      <c r="P136" s="916">
        <v>1</v>
      </c>
      <c r="Q136" s="876" t="s">
        <v>605</v>
      </c>
      <c r="R136" s="876"/>
      <c r="S136" s="916"/>
      <c r="T136" s="916"/>
      <c r="U136" s="906" t="s">
        <v>615</v>
      </c>
      <c r="V136" s="906"/>
      <c r="W136" s="542"/>
      <c r="X136" s="102">
        <v>2250080</v>
      </c>
    </row>
    <row r="137" spans="1:24" ht="19.5" customHeight="1">
      <c r="A137" s="54"/>
      <c r="B137" s="525"/>
      <c r="C137" s="1051" t="s">
        <v>493</v>
      </c>
      <c r="D137" s="973"/>
      <c r="E137" s="69">
        <v>2700</v>
      </c>
      <c r="F137" s="69">
        <f>F138</f>
        <v>1700</v>
      </c>
      <c r="G137" s="318">
        <f>F137-E137</f>
        <v>-1000</v>
      </c>
      <c r="H137" s="440"/>
      <c r="I137" s="59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59"/>
      <c r="X137" s="98"/>
    </row>
    <row r="138" spans="1:24" ht="19.5" customHeight="1">
      <c r="A138" s="54"/>
      <c r="B138" s="525"/>
      <c r="C138" s="1052"/>
      <c r="D138" s="986" t="s">
        <v>494</v>
      </c>
      <c r="E138" s="68">
        <v>2700</v>
      </c>
      <c r="F138" s="68">
        <v>1700</v>
      </c>
      <c r="G138" s="317">
        <f>F138-E138</f>
        <v>-1000</v>
      </c>
      <c r="H138" s="471" t="s">
        <v>712</v>
      </c>
      <c r="I138" s="914">
        <v>250000</v>
      </c>
      <c r="J138" s="379" t="s">
        <v>603</v>
      </c>
      <c r="K138" s="1075">
        <v>4</v>
      </c>
      <c r="L138" s="1075"/>
      <c r="M138" s="1075" t="s">
        <v>605</v>
      </c>
      <c r="N138" s="1075"/>
      <c r="O138" s="195"/>
      <c r="P138" s="195"/>
      <c r="Q138" s="195"/>
      <c r="R138" s="195"/>
      <c r="S138" s="195"/>
      <c r="T138" s="195"/>
      <c r="U138" s="246" t="s">
        <v>615</v>
      </c>
      <c r="V138" s="195"/>
      <c r="W138" s="195"/>
      <c r="X138" s="103">
        <f>I138*K138</f>
        <v>1000000</v>
      </c>
    </row>
    <row r="139" spans="1:24" ht="19.5" customHeight="1">
      <c r="A139" s="54"/>
      <c r="B139" s="525"/>
      <c r="C139" s="63"/>
      <c r="D139" s="975"/>
      <c r="E139" s="69"/>
      <c r="F139" s="69"/>
      <c r="G139" s="320"/>
      <c r="H139" s="471" t="s">
        <v>713</v>
      </c>
      <c r="I139" s="914">
        <v>50000</v>
      </c>
      <c r="J139" s="379" t="s">
        <v>603</v>
      </c>
      <c r="K139" s="1075">
        <v>30</v>
      </c>
      <c r="L139" s="1075"/>
      <c r="M139" s="1144" t="s">
        <v>604</v>
      </c>
      <c r="N139" s="1144"/>
      <c r="O139" s="195"/>
      <c r="P139" s="195"/>
      <c r="Q139" s="195"/>
      <c r="R139" s="195"/>
      <c r="S139" s="195"/>
      <c r="T139" s="195"/>
      <c r="U139" s="246" t="s">
        <v>615</v>
      </c>
      <c r="V139" s="195"/>
      <c r="W139" s="195"/>
      <c r="X139" s="103">
        <v>700000</v>
      </c>
    </row>
    <row r="140" spans="1:24" ht="18" customHeight="1">
      <c r="A140" s="54"/>
      <c r="B140" s="525"/>
      <c r="C140" s="1051" t="s">
        <v>495</v>
      </c>
      <c r="D140" s="996"/>
      <c r="E140" s="107">
        <v>750</v>
      </c>
      <c r="F140" s="107">
        <f>F141</f>
        <v>750</v>
      </c>
      <c r="G140" s="318">
        <f>F140-E140</f>
        <v>0</v>
      </c>
      <c r="H140" s="830"/>
      <c r="I140" s="803"/>
      <c r="J140" s="818"/>
      <c r="K140" s="818"/>
      <c r="L140" s="818"/>
      <c r="M140" s="818"/>
      <c r="N140" s="818"/>
      <c r="O140" s="818"/>
      <c r="P140" s="818"/>
      <c r="Q140" s="818"/>
      <c r="R140" s="818"/>
      <c r="S140" s="818"/>
      <c r="T140" s="818"/>
      <c r="U140" s="830"/>
      <c r="V140" s="830"/>
      <c r="W140" s="78"/>
      <c r="X140" s="74"/>
    </row>
    <row r="141" spans="1:24" ht="20.25" customHeight="1">
      <c r="A141" s="54"/>
      <c r="B141" s="525"/>
      <c r="C141" s="1052"/>
      <c r="D141" s="986" t="s">
        <v>496</v>
      </c>
      <c r="E141" s="68">
        <v>750</v>
      </c>
      <c r="F141" s="68">
        <v>750</v>
      </c>
      <c r="G141" s="329">
        <f>F141-E141</f>
        <v>0</v>
      </c>
      <c r="H141" s="936" t="s">
        <v>714</v>
      </c>
      <c r="I141" s="869">
        <v>750000</v>
      </c>
      <c r="J141" s="870" t="s">
        <v>603</v>
      </c>
      <c r="K141" s="1132">
        <v>1</v>
      </c>
      <c r="L141" s="1132"/>
      <c r="M141" s="1132" t="s">
        <v>715</v>
      </c>
      <c r="N141" s="1132"/>
      <c r="O141" s="937"/>
      <c r="P141" s="937"/>
      <c r="Q141" s="937"/>
      <c r="R141" s="937"/>
      <c r="S141" s="937"/>
      <c r="T141" s="937"/>
      <c r="U141" s="463" t="s">
        <v>615</v>
      </c>
      <c r="V141" s="463"/>
      <c r="W141" s="464"/>
      <c r="X141" s="486">
        <f>I141*K141</f>
        <v>750000</v>
      </c>
    </row>
    <row r="142" spans="1:24" ht="15" customHeight="1" thickBot="1">
      <c r="A142" s="157"/>
      <c r="B142" s="108"/>
      <c r="C142" s="122"/>
      <c r="D142" s="1004"/>
      <c r="E142" s="109"/>
      <c r="F142" s="109"/>
      <c r="G142" s="990"/>
      <c r="H142" s="477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487"/>
    </row>
    <row r="143" spans="3:24" ht="19.5" customHeight="1" hidden="1" thickBot="1">
      <c r="C143" s="1055" t="s">
        <v>497</v>
      </c>
      <c r="D143" s="1005"/>
      <c r="E143" s="205">
        <v>0</v>
      </c>
      <c r="F143" s="205">
        <f>F144</f>
        <v>0</v>
      </c>
      <c r="G143" s="587"/>
      <c r="H143" s="124"/>
      <c r="I143" s="124"/>
      <c r="J143" s="457"/>
      <c r="K143" s="457"/>
      <c r="L143" s="457"/>
      <c r="M143" s="457"/>
      <c r="N143" s="457"/>
      <c r="O143" s="457"/>
      <c r="P143" s="457"/>
      <c r="Q143" s="457"/>
      <c r="R143" s="457"/>
      <c r="S143" s="457"/>
      <c r="T143" s="457"/>
      <c r="U143" s="838"/>
      <c r="V143" s="457"/>
      <c r="W143" s="124"/>
      <c r="X143" s="161"/>
    </row>
    <row r="144" spans="1:24" ht="19.5" customHeight="1" hidden="1">
      <c r="A144" s="624"/>
      <c r="B144" s="288"/>
      <c r="C144" s="1052"/>
      <c r="D144" s="1124" t="s">
        <v>498</v>
      </c>
      <c r="E144" s="68"/>
      <c r="F144" s="68"/>
      <c r="G144" s="797"/>
      <c r="H144" s="1156" t="s">
        <v>499</v>
      </c>
      <c r="I144" s="1134"/>
      <c r="J144" s="830"/>
      <c r="K144" s="830"/>
      <c r="L144" s="830"/>
      <c r="M144" s="830"/>
      <c r="N144" s="830"/>
      <c r="O144" s="830"/>
      <c r="P144" s="830"/>
      <c r="Q144" s="830"/>
      <c r="R144" s="830"/>
      <c r="S144" s="830"/>
      <c r="T144" s="830"/>
      <c r="U144" s="837"/>
      <c r="V144" s="830"/>
      <c r="W144" s="78"/>
      <c r="X144" s="74"/>
    </row>
    <row r="145" spans="1:24" ht="19.5" customHeight="1" hidden="1">
      <c r="A145" s="624"/>
      <c r="B145" s="288"/>
      <c r="C145" s="140"/>
      <c r="D145" s="1125"/>
      <c r="E145" s="73"/>
      <c r="F145" s="73"/>
      <c r="G145" s="793"/>
      <c r="H145" s="52"/>
      <c r="I145" s="52"/>
      <c r="J145" s="808"/>
      <c r="K145" s="808"/>
      <c r="L145" s="808"/>
      <c r="M145" s="808"/>
      <c r="N145" s="808"/>
      <c r="O145" s="808"/>
      <c r="P145" s="808"/>
      <c r="Q145" s="808"/>
      <c r="R145" s="808"/>
      <c r="S145" s="808"/>
      <c r="T145" s="808"/>
      <c r="U145" s="839"/>
      <c r="V145" s="808"/>
      <c r="W145" s="52"/>
      <c r="X145" s="96"/>
    </row>
    <row r="146" spans="1:24" ht="19.5" customHeight="1" hidden="1">
      <c r="A146" s="624"/>
      <c r="B146" s="288"/>
      <c r="C146" s="1051" t="s">
        <v>500</v>
      </c>
      <c r="D146" s="1006"/>
      <c r="E146" s="69">
        <v>0</v>
      </c>
      <c r="F146" s="69">
        <f>F147</f>
        <v>0</v>
      </c>
      <c r="G146" s="142"/>
      <c r="H146" s="66"/>
      <c r="I146" s="66"/>
      <c r="J146" s="794"/>
      <c r="K146" s="794"/>
      <c r="L146" s="794"/>
      <c r="M146" s="794"/>
      <c r="N146" s="794"/>
      <c r="O146" s="794"/>
      <c r="P146" s="794"/>
      <c r="Q146" s="794"/>
      <c r="R146" s="794"/>
      <c r="S146" s="794"/>
      <c r="T146" s="794"/>
      <c r="U146" s="794"/>
      <c r="V146" s="794"/>
      <c r="W146" s="66"/>
      <c r="X146" s="95"/>
    </row>
    <row r="147" spans="1:24" ht="19.5" customHeight="1" hidden="1">
      <c r="A147" s="624"/>
      <c r="B147" s="288"/>
      <c r="C147" s="1052"/>
      <c r="D147" s="1124" t="s">
        <v>501</v>
      </c>
      <c r="E147" s="68"/>
      <c r="F147" s="68"/>
      <c r="G147" s="797"/>
      <c r="H147" s="1156" t="s">
        <v>499</v>
      </c>
      <c r="I147" s="1134"/>
      <c r="J147" s="830"/>
      <c r="K147" s="830"/>
      <c r="L147" s="830"/>
      <c r="M147" s="830"/>
      <c r="N147" s="830"/>
      <c r="O147" s="830"/>
      <c r="P147" s="830"/>
      <c r="Q147" s="830"/>
      <c r="R147" s="830"/>
      <c r="S147" s="830"/>
      <c r="T147" s="830"/>
      <c r="U147" s="830"/>
      <c r="V147" s="830"/>
      <c r="W147" s="78"/>
      <c r="X147" s="74"/>
    </row>
    <row r="148" spans="1:24" ht="19.5" customHeight="1" hidden="1">
      <c r="A148" s="624"/>
      <c r="B148" s="288"/>
      <c r="C148" s="142"/>
      <c r="D148" s="1125"/>
      <c r="E148" s="73"/>
      <c r="F148" s="73"/>
      <c r="G148" s="793"/>
      <c r="H148" s="451"/>
      <c r="I148" s="451"/>
      <c r="J148" s="808"/>
      <c r="K148" s="808"/>
      <c r="L148" s="808"/>
      <c r="M148" s="808"/>
      <c r="N148" s="808"/>
      <c r="O148" s="808"/>
      <c r="P148" s="808"/>
      <c r="Q148" s="808"/>
      <c r="R148" s="808"/>
      <c r="S148" s="808"/>
      <c r="T148" s="808"/>
      <c r="U148" s="808"/>
      <c r="V148" s="808"/>
      <c r="W148" s="52"/>
      <c r="X148" s="96"/>
    </row>
    <row r="149" spans="1:24" ht="19.5" customHeight="1" hidden="1">
      <c r="A149" s="624"/>
      <c r="B149" s="288"/>
      <c r="C149" s="1051" t="s">
        <v>502</v>
      </c>
      <c r="D149" s="1007"/>
      <c r="E149" s="107">
        <v>0</v>
      </c>
      <c r="F149" s="107">
        <f>SUM(F150)</f>
        <v>0</v>
      </c>
      <c r="G149" s="317">
        <f>F149-E149</f>
        <v>0</v>
      </c>
      <c r="H149" s="830"/>
      <c r="I149" s="803"/>
      <c r="J149" s="818"/>
      <c r="K149" s="818"/>
      <c r="L149" s="818"/>
      <c r="M149" s="818"/>
      <c r="N149" s="818"/>
      <c r="O149" s="818"/>
      <c r="P149" s="818"/>
      <c r="Q149" s="818"/>
      <c r="R149" s="818"/>
      <c r="S149" s="818"/>
      <c r="T149" s="818"/>
      <c r="U149" s="830"/>
      <c r="V149" s="830"/>
      <c r="W149" s="78"/>
      <c r="X149" s="74"/>
    </row>
    <row r="150" spans="1:24" ht="19.5" customHeight="1" hidden="1">
      <c r="A150" s="624"/>
      <c r="B150" s="288"/>
      <c r="C150" s="1052"/>
      <c r="D150" s="1124" t="s">
        <v>503</v>
      </c>
      <c r="E150" s="68">
        <v>0</v>
      </c>
      <c r="F150" s="68">
        <f>SUM(X151:X151)/1000</f>
        <v>0</v>
      </c>
      <c r="G150" s="317">
        <f>F150-E150</f>
        <v>0</v>
      </c>
      <c r="H150" s="1156" t="s">
        <v>499</v>
      </c>
      <c r="I150" s="1134"/>
      <c r="J150" s="1134"/>
      <c r="K150" s="1134"/>
      <c r="L150" s="1134"/>
      <c r="M150" s="1134"/>
      <c r="N150" s="1134"/>
      <c r="O150" s="1134"/>
      <c r="P150" s="1134"/>
      <c r="Q150" s="1134"/>
      <c r="R150" s="1134"/>
      <c r="S150" s="1134"/>
      <c r="T150" s="818"/>
      <c r="U150" s="830"/>
      <c r="V150" s="830"/>
      <c r="W150" s="78"/>
      <c r="X150" s="74"/>
    </row>
    <row r="151" spans="1:24" ht="19.5" customHeight="1" hidden="1">
      <c r="A151" s="624"/>
      <c r="B151" s="288"/>
      <c r="C151" s="142"/>
      <c r="D151" s="1129"/>
      <c r="E151" s="69"/>
      <c r="F151" s="69"/>
      <c r="G151" s="967"/>
      <c r="H151" s="794"/>
      <c r="I151" s="132"/>
      <c r="J151" s="820"/>
      <c r="K151" s="1113"/>
      <c r="L151" s="1113"/>
      <c r="M151" s="820"/>
      <c r="N151" s="820"/>
      <c r="O151" s="820"/>
      <c r="P151" s="820"/>
      <c r="Q151" s="1113"/>
      <c r="R151" s="1113"/>
      <c r="S151" s="820"/>
      <c r="T151" s="820"/>
      <c r="U151" s="794"/>
      <c r="V151" s="794"/>
      <c r="W151" s="66"/>
      <c r="X151" s="95">
        <f>I151*K151*P151</f>
        <v>0</v>
      </c>
    </row>
    <row r="152" spans="1:24" ht="19.5" customHeight="1">
      <c r="A152" s="1085" t="str">
        <f>A116</f>
        <v>03.사업비</v>
      </c>
      <c r="B152" s="1157" t="str">
        <f>B117</f>
        <v>31.운영비</v>
      </c>
      <c r="C152" s="1055" t="s">
        <v>504</v>
      </c>
      <c r="D152" s="1008"/>
      <c r="E152" s="159">
        <v>34800</v>
      </c>
      <c r="F152" s="159">
        <f>F155+F153</f>
        <v>39560</v>
      </c>
      <c r="G152" s="991">
        <f>F152-E152</f>
        <v>4760</v>
      </c>
      <c r="H152" s="160"/>
      <c r="I152" s="407"/>
      <c r="J152" s="432"/>
      <c r="K152" s="432"/>
      <c r="L152" s="432"/>
      <c r="M152" s="432"/>
      <c r="N152" s="432"/>
      <c r="O152" s="432"/>
      <c r="P152" s="432"/>
      <c r="Q152" s="432"/>
      <c r="R152" s="432"/>
      <c r="S152" s="432"/>
      <c r="T152" s="432"/>
      <c r="U152" s="160"/>
      <c r="V152" s="160"/>
      <c r="W152" s="85"/>
      <c r="X152" s="97"/>
    </row>
    <row r="153" spans="1:24" ht="19.5" customHeight="1">
      <c r="A153" s="1086"/>
      <c r="B153" s="1149"/>
      <c r="C153" s="1052"/>
      <c r="D153" s="1158" t="s">
        <v>505</v>
      </c>
      <c r="E153" s="69">
        <v>4800</v>
      </c>
      <c r="F153" s="69">
        <v>4800</v>
      </c>
      <c r="G153" s="469">
        <f>F153-E153</f>
        <v>0</v>
      </c>
      <c r="H153" s="883" t="s">
        <v>716</v>
      </c>
      <c r="I153" s="195">
        <v>400000</v>
      </c>
      <c r="J153" s="379" t="s">
        <v>603</v>
      </c>
      <c r="K153" s="1135">
        <v>12</v>
      </c>
      <c r="L153" s="1135"/>
      <c r="M153" s="1135" t="s">
        <v>614</v>
      </c>
      <c r="N153" s="1135"/>
      <c r="O153" s="246"/>
      <c r="P153" s="246"/>
      <c r="Q153" s="246"/>
      <c r="R153" s="246"/>
      <c r="S153" s="246"/>
      <c r="T153" s="246"/>
      <c r="U153" s="246" t="s">
        <v>632</v>
      </c>
      <c r="V153" s="246"/>
      <c r="W153" s="431"/>
      <c r="X153" s="103">
        <f>I153*K153</f>
        <v>4800000</v>
      </c>
    </row>
    <row r="154" spans="1:24" ht="19.5" customHeight="1">
      <c r="A154" s="293"/>
      <c r="B154" s="525"/>
      <c r="C154" s="142"/>
      <c r="D154" s="1159"/>
      <c r="E154" s="73"/>
      <c r="F154" s="73"/>
      <c r="G154" s="462"/>
      <c r="H154" s="938"/>
      <c r="I154" s="895"/>
      <c r="J154" s="895"/>
      <c r="K154" s="895"/>
      <c r="L154" s="895"/>
      <c r="M154" s="895"/>
      <c r="N154" s="895"/>
      <c r="O154" s="895"/>
      <c r="P154" s="895"/>
      <c r="Q154" s="895"/>
      <c r="R154" s="895"/>
      <c r="S154" s="895"/>
      <c r="T154" s="895"/>
      <c r="U154" s="895"/>
      <c r="V154" s="895"/>
      <c r="W154" s="895"/>
      <c r="X154" s="896"/>
    </row>
    <row r="155" spans="1:24" ht="19.5" customHeight="1">
      <c r="A155" s="54"/>
      <c r="B155" s="63"/>
      <c r="C155" s="142"/>
      <c r="D155" s="1124" t="s">
        <v>506</v>
      </c>
      <c r="E155" s="68">
        <v>30000</v>
      </c>
      <c r="F155" s="68">
        <v>34760</v>
      </c>
      <c r="G155" s="329">
        <f>F155-E155</f>
        <v>4760</v>
      </c>
      <c r="H155" s="939" t="s">
        <v>717</v>
      </c>
      <c r="I155" s="909">
        <v>2800000</v>
      </c>
      <c r="J155" s="379" t="s">
        <v>603</v>
      </c>
      <c r="K155" s="1075">
        <v>1</v>
      </c>
      <c r="L155" s="1075"/>
      <c r="M155" s="940" t="s">
        <v>614</v>
      </c>
      <c r="N155" s="940"/>
      <c r="O155" s="463"/>
      <c r="P155" s="909"/>
      <c r="Q155" s="909"/>
      <c r="R155" s="909"/>
      <c r="S155" s="909"/>
      <c r="T155" s="909"/>
      <c r="U155" s="909" t="s">
        <v>632</v>
      </c>
      <c r="V155" s="909"/>
      <c r="W155" s="909"/>
      <c r="X155" s="910">
        <f>I155*K155</f>
        <v>2800000</v>
      </c>
    </row>
    <row r="156" spans="1:24" ht="19.5" customHeight="1">
      <c r="A156" s="54"/>
      <c r="B156" s="63"/>
      <c r="C156" s="142"/>
      <c r="D156" s="1129"/>
      <c r="E156" s="69"/>
      <c r="F156" s="69"/>
      <c r="G156" s="968"/>
      <c r="H156" s="195" t="s">
        <v>718</v>
      </c>
      <c r="I156" s="914">
        <v>2663340</v>
      </c>
      <c r="J156" s="379" t="s">
        <v>603</v>
      </c>
      <c r="K156" s="1075">
        <v>12</v>
      </c>
      <c r="L156" s="1075"/>
      <c r="M156" s="902" t="s">
        <v>614</v>
      </c>
      <c r="N156" s="195"/>
      <c r="O156" s="195"/>
      <c r="P156" s="195"/>
      <c r="Q156" s="195"/>
      <c r="R156" s="195"/>
      <c r="S156" s="195"/>
      <c r="T156" s="195"/>
      <c r="U156" s="246" t="s">
        <v>615</v>
      </c>
      <c r="V156" s="195"/>
      <c r="W156" s="195"/>
      <c r="X156" s="103">
        <v>31960000</v>
      </c>
    </row>
    <row r="157" spans="1:24" ht="19.5" customHeight="1">
      <c r="A157" s="357"/>
      <c r="B157" s="524" t="s">
        <v>507</v>
      </c>
      <c r="C157" s="64"/>
      <c r="D157" s="1002"/>
      <c r="E157" s="107">
        <v>1880</v>
      </c>
      <c r="F157" s="107">
        <f>SUM(F158,F161,F164,F167,F170)</f>
        <v>770</v>
      </c>
      <c r="G157" s="313">
        <f>F157-E157</f>
        <v>-1110</v>
      </c>
      <c r="H157" s="127"/>
      <c r="I157" s="130"/>
      <c r="J157" s="429"/>
      <c r="K157" s="429"/>
      <c r="L157" s="429"/>
      <c r="M157" s="429"/>
      <c r="N157" s="429"/>
      <c r="O157" s="429"/>
      <c r="P157" s="429"/>
      <c r="Q157" s="429"/>
      <c r="R157" s="429"/>
      <c r="S157" s="429"/>
      <c r="T157" s="429"/>
      <c r="U157" s="127"/>
      <c r="V157" s="127"/>
      <c r="W157" s="59"/>
      <c r="X157" s="98"/>
    </row>
    <row r="158" spans="1:24" ht="19.5" customHeight="1">
      <c r="A158" s="54"/>
      <c r="B158" s="63"/>
      <c r="C158" s="1154" t="s">
        <v>508</v>
      </c>
      <c r="D158" s="975"/>
      <c r="E158" s="69">
        <v>680</v>
      </c>
      <c r="F158" s="69">
        <f>F159</f>
        <v>170</v>
      </c>
      <c r="G158" s="329">
        <f>F158-E158</f>
        <v>-510</v>
      </c>
      <c r="H158" s="440"/>
      <c r="I158" s="59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836"/>
      <c r="V158" s="127"/>
      <c r="W158" s="59"/>
      <c r="X158" s="98"/>
    </row>
    <row r="159" spans="1:24" ht="19.5" customHeight="1">
      <c r="A159" s="54"/>
      <c r="B159" s="63"/>
      <c r="C159" s="1155"/>
      <c r="D159" s="1130" t="s">
        <v>509</v>
      </c>
      <c r="E159" s="68">
        <v>680</v>
      </c>
      <c r="F159" s="68">
        <v>170</v>
      </c>
      <c r="G159" s="317">
        <f>F159-E159</f>
        <v>-510</v>
      </c>
      <c r="H159" s="901" t="s">
        <v>719</v>
      </c>
      <c r="I159" s="901">
        <v>70000</v>
      </c>
      <c r="J159" s="379" t="s">
        <v>603</v>
      </c>
      <c r="K159" s="1080">
        <v>1</v>
      </c>
      <c r="L159" s="1080"/>
      <c r="M159" s="902" t="s">
        <v>605</v>
      </c>
      <c r="N159" s="195"/>
      <c r="O159" s="195"/>
      <c r="P159" s="195"/>
      <c r="Q159" s="195"/>
      <c r="R159" s="195"/>
      <c r="S159" s="195"/>
      <c r="T159" s="195"/>
      <c r="U159" s="246" t="s">
        <v>615</v>
      </c>
      <c r="V159" s="195"/>
      <c r="W159" s="195"/>
      <c r="X159" s="103">
        <f>I159*K159</f>
        <v>70000</v>
      </c>
    </row>
    <row r="160" spans="1:24" ht="19.5" customHeight="1">
      <c r="A160" s="92"/>
      <c r="B160" s="525"/>
      <c r="C160" s="56"/>
      <c r="D160" s="1131"/>
      <c r="E160" s="73"/>
      <c r="F160" s="73"/>
      <c r="G160" s="57"/>
      <c r="H160" s="542" t="s">
        <v>720</v>
      </c>
      <c r="I160" s="925">
        <v>100000</v>
      </c>
      <c r="J160" s="877" t="s">
        <v>603</v>
      </c>
      <c r="K160" s="1144">
        <v>1</v>
      </c>
      <c r="L160" s="1144"/>
      <c r="M160" s="905" t="s">
        <v>605</v>
      </c>
      <c r="N160" s="876"/>
      <c r="O160" s="876"/>
      <c r="P160" s="876"/>
      <c r="Q160" s="876"/>
      <c r="R160" s="876"/>
      <c r="S160" s="876"/>
      <c r="T160" s="876"/>
      <c r="U160" s="906" t="s">
        <v>615</v>
      </c>
      <c r="V160" s="876"/>
      <c r="W160" s="876"/>
      <c r="X160" s="102">
        <f>I160*K160</f>
        <v>100000</v>
      </c>
    </row>
    <row r="161" spans="1:24" ht="19.5" customHeight="1">
      <c r="A161" s="49"/>
      <c r="B161" s="525"/>
      <c r="C161" s="1088" t="s">
        <v>510</v>
      </c>
      <c r="D161" s="975"/>
      <c r="E161" s="69">
        <v>1200</v>
      </c>
      <c r="F161" s="69">
        <f>F162</f>
        <v>600</v>
      </c>
      <c r="G161" s="313">
        <f>F161-E161</f>
        <v>-600</v>
      </c>
      <c r="H161" s="66"/>
      <c r="I161" s="66"/>
      <c r="J161" s="794"/>
      <c r="K161" s="794"/>
      <c r="L161" s="794"/>
      <c r="M161" s="794"/>
      <c r="N161" s="794"/>
      <c r="O161" s="794"/>
      <c r="P161" s="794"/>
      <c r="Q161" s="794"/>
      <c r="R161" s="794"/>
      <c r="S161" s="794"/>
      <c r="T161" s="794"/>
      <c r="U161" s="794"/>
      <c r="V161" s="794"/>
      <c r="W161" s="66"/>
      <c r="X161" s="95"/>
    </row>
    <row r="162" spans="1:24" ht="19.5" customHeight="1">
      <c r="A162" s="54"/>
      <c r="B162" s="525"/>
      <c r="C162" s="1088"/>
      <c r="D162" s="1124" t="s">
        <v>511</v>
      </c>
      <c r="E162" s="68">
        <v>1200</v>
      </c>
      <c r="F162" s="68">
        <v>600</v>
      </c>
      <c r="G162" s="329">
        <f>F162-E162</f>
        <v>-600</v>
      </c>
      <c r="H162" s="844" t="s">
        <v>721</v>
      </c>
      <c r="I162" s="909">
        <v>150000</v>
      </c>
      <c r="J162" s="870" t="s">
        <v>603</v>
      </c>
      <c r="K162" s="1080">
        <v>4</v>
      </c>
      <c r="L162" s="1080"/>
      <c r="M162" s="908" t="s">
        <v>605</v>
      </c>
      <c r="N162" s="869"/>
      <c r="O162" s="869"/>
      <c r="P162" s="869"/>
      <c r="Q162" s="869"/>
      <c r="R162" s="869"/>
      <c r="S162" s="869"/>
      <c r="T162" s="869"/>
      <c r="U162" s="463" t="s">
        <v>615</v>
      </c>
      <c r="V162" s="869"/>
      <c r="W162" s="869"/>
      <c r="X162" s="486">
        <f>I162*K162</f>
        <v>600000</v>
      </c>
    </row>
    <row r="163" spans="1:24" ht="19.5" customHeight="1">
      <c r="A163" s="54"/>
      <c r="B163" s="56"/>
      <c r="C163" s="56"/>
      <c r="D163" s="1125"/>
      <c r="E163" s="73"/>
      <c r="F163" s="73"/>
      <c r="G163" s="462"/>
      <c r="H163" s="465"/>
      <c r="I163" s="460"/>
      <c r="J163" s="460"/>
      <c r="K163" s="460"/>
      <c r="L163" s="460"/>
      <c r="M163" s="460"/>
      <c r="N163" s="460"/>
      <c r="O163" s="460"/>
      <c r="P163" s="460"/>
      <c r="Q163" s="460"/>
      <c r="R163" s="460"/>
      <c r="S163" s="460"/>
      <c r="T163" s="460"/>
      <c r="U163" s="460"/>
      <c r="V163" s="460"/>
      <c r="W163" s="460"/>
      <c r="X163" s="488"/>
    </row>
    <row r="164" spans="1:24" ht="19.5" customHeight="1" hidden="1">
      <c r="A164" s="54"/>
      <c r="B164" s="525"/>
      <c r="C164" s="1051" t="s">
        <v>512</v>
      </c>
      <c r="D164" s="975"/>
      <c r="E164" s="69">
        <v>0</v>
      </c>
      <c r="F164" s="69">
        <f>F165</f>
        <v>0</v>
      </c>
      <c r="G164" s="320">
        <f>F164-E164</f>
        <v>0</v>
      </c>
      <c r="H164" s="66"/>
      <c r="I164" s="66"/>
      <c r="J164" s="794"/>
      <c r="K164" s="794"/>
      <c r="L164" s="794"/>
      <c r="M164" s="794"/>
      <c r="N164" s="794"/>
      <c r="O164" s="794"/>
      <c r="P164" s="794"/>
      <c r="Q164" s="794"/>
      <c r="R164" s="794"/>
      <c r="S164" s="794"/>
      <c r="T164" s="794"/>
      <c r="U164" s="840"/>
      <c r="V164" s="794"/>
      <c r="W164" s="66"/>
      <c r="X164" s="95"/>
    </row>
    <row r="165" spans="1:24" ht="19.5" customHeight="1" hidden="1">
      <c r="A165" s="54"/>
      <c r="B165" s="525"/>
      <c r="C165" s="1052"/>
      <c r="D165" s="986" t="s">
        <v>513</v>
      </c>
      <c r="E165" s="68">
        <v>0</v>
      </c>
      <c r="F165" s="68">
        <f>X166/1000</f>
        <v>0</v>
      </c>
      <c r="G165" s="329">
        <f>F165-E165</f>
        <v>0</v>
      </c>
      <c r="H165" s="1156" t="s">
        <v>499</v>
      </c>
      <c r="I165" s="1134"/>
      <c r="J165" s="830"/>
      <c r="K165" s="830"/>
      <c r="L165" s="830"/>
      <c r="M165" s="830"/>
      <c r="N165" s="830"/>
      <c r="O165" s="830"/>
      <c r="P165" s="830"/>
      <c r="Q165" s="830"/>
      <c r="R165" s="830"/>
      <c r="S165" s="830"/>
      <c r="T165" s="830"/>
      <c r="U165" s="837"/>
      <c r="V165" s="830"/>
      <c r="W165" s="78"/>
      <c r="X165" s="74"/>
    </row>
    <row r="166" spans="1:24" ht="19.5" customHeight="1" hidden="1">
      <c r="A166" s="54"/>
      <c r="B166" s="525"/>
      <c r="C166" s="57"/>
      <c r="D166" s="987"/>
      <c r="E166" s="73"/>
      <c r="F166" s="73"/>
      <c r="G166" s="57"/>
      <c r="H166" s="820"/>
      <c r="I166" s="156"/>
      <c r="J166" s="820"/>
      <c r="K166" s="1113"/>
      <c r="L166" s="1113"/>
      <c r="M166" s="820"/>
      <c r="N166" s="820"/>
      <c r="O166" s="820"/>
      <c r="P166" s="820"/>
      <c r="Q166" s="1113"/>
      <c r="R166" s="1113"/>
      <c r="S166" s="820"/>
      <c r="T166" s="820"/>
      <c r="U166" s="794"/>
      <c r="V166" s="794"/>
      <c r="W166" s="794"/>
      <c r="X166" s="145"/>
    </row>
    <row r="167" spans="1:24" ht="19.5" customHeight="1" hidden="1">
      <c r="A167" s="54"/>
      <c r="B167" s="63"/>
      <c r="C167" s="1051" t="s">
        <v>514</v>
      </c>
      <c r="D167" s="1006"/>
      <c r="E167" s="68">
        <v>0</v>
      </c>
      <c r="F167" s="68">
        <f>F168</f>
        <v>0</v>
      </c>
      <c r="G167" s="143"/>
      <c r="H167" s="78"/>
      <c r="I167" s="78"/>
      <c r="J167" s="830"/>
      <c r="K167" s="830"/>
      <c r="L167" s="830"/>
      <c r="M167" s="830"/>
      <c r="N167" s="830"/>
      <c r="O167" s="830"/>
      <c r="P167" s="830"/>
      <c r="Q167" s="830"/>
      <c r="R167" s="830"/>
      <c r="S167" s="830"/>
      <c r="T167" s="830"/>
      <c r="U167" s="830"/>
      <c r="V167" s="830"/>
      <c r="W167" s="78"/>
      <c r="X167" s="74"/>
    </row>
    <row r="168" spans="1:24" ht="19.5" customHeight="1" hidden="1">
      <c r="A168" s="54"/>
      <c r="B168" s="63"/>
      <c r="C168" s="1052"/>
      <c r="D168" s="1124" t="s">
        <v>515</v>
      </c>
      <c r="E168" s="68">
        <v>0</v>
      </c>
      <c r="F168" s="68">
        <v>0</v>
      </c>
      <c r="G168" s="797"/>
      <c r="H168" s="1156" t="s">
        <v>499</v>
      </c>
      <c r="I168" s="1134"/>
      <c r="J168" s="830"/>
      <c r="K168" s="830"/>
      <c r="L168" s="830"/>
      <c r="M168" s="830"/>
      <c r="N168" s="830"/>
      <c r="O168" s="830"/>
      <c r="P168" s="830"/>
      <c r="Q168" s="830"/>
      <c r="R168" s="830"/>
      <c r="S168" s="830"/>
      <c r="T168" s="830"/>
      <c r="U168" s="830"/>
      <c r="V168" s="830"/>
      <c r="W168" s="78"/>
      <c r="X168" s="74"/>
    </row>
    <row r="169" spans="1:24" ht="19.5" customHeight="1" hidden="1">
      <c r="A169" s="54"/>
      <c r="B169" s="525"/>
      <c r="C169" s="140"/>
      <c r="D169" s="1125"/>
      <c r="E169" s="73"/>
      <c r="F169" s="73"/>
      <c r="G169" s="793"/>
      <c r="H169" s="451"/>
      <c r="I169" s="451"/>
      <c r="J169" s="808"/>
      <c r="K169" s="808"/>
      <c r="L169" s="808"/>
      <c r="M169" s="808"/>
      <c r="N169" s="808"/>
      <c r="O169" s="808"/>
      <c r="P169" s="808"/>
      <c r="Q169" s="808"/>
      <c r="R169" s="808"/>
      <c r="S169" s="808"/>
      <c r="T169" s="808"/>
      <c r="U169" s="808"/>
      <c r="V169" s="808"/>
      <c r="W169" s="52"/>
      <c r="X169" s="96"/>
    </row>
    <row r="170" spans="1:24" ht="19.5" customHeight="1" hidden="1">
      <c r="A170" s="54"/>
      <c r="B170" s="525"/>
      <c r="C170" s="1088" t="s">
        <v>516</v>
      </c>
      <c r="D170" s="983"/>
      <c r="E170" s="69">
        <v>0</v>
      </c>
      <c r="F170" s="69">
        <f>F171</f>
        <v>0</v>
      </c>
      <c r="G170" s="142"/>
      <c r="H170" s="66"/>
      <c r="I170" s="66"/>
      <c r="J170" s="794"/>
      <c r="K170" s="794"/>
      <c r="L170" s="794"/>
      <c r="M170" s="794"/>
      <c r="N170" s="794"/>
      <c r="O170" s="794"/>
      <c r="P170" s="794"/>
      <c r="Q170" s="794"/>
      <c r="R170" s="794"/>
      <c r="S170" s="794"/>
      <c r="T170" s="794"/>
      <c r="U170" s="794"/>
      <c r="V170" s="794"/>
      <c r="W170" s="66"/>
      <c r="X170" s="95"/>
    </row>
    <row r="171" spans="1:24" ht="19.5" customHeight="1" hidden="1">
      <c r="A171" s="54"/>
      <c r="B171" s="525"/>
      <c r="C171" s="1088"/>
      <c r="D171" s="1124" t="s">
        <v>517</v>
      </c>
      <c r="E171" s="68">
        <v>0</v>
      </c>
      <c r="F171" s="68">
        <v>0</v>
      </c>
      <c r="G171" s="797"/>
      <c r="H171" s="1156" t="s">
        <v>499</v>
      </c>
      <c r="I171" s="1134"/>
      <c r="J171" s="830"/>
      <c r="K171" s="830"/>
      <c r="L171" s="830"/>
      <c r="M171" s="830"/>
      <c r="N171" s="830"/>
      <c r="O171" s="830"/>
      <c r="P171" s="830"/>
      <c r="Q171" s="830"/>
      <c r="R171" s="830"/>
      <c r="S171" s="830"/>
      <c r="T171" s="830"/>
      <c r="U171" s="830"/>
      <c r="V171" s="830"/>
      <c r="W171" s="78"/>
      <c r="X171" s="74"/>
    </row>
    <row r="172" spans="1:24" ht="19.5" customHeight="1" hidden="1">
      <c r="A172" s="54"/>
      <c r="B172" s="56"/>
      <c r="C172" s="140"/>
      <c r="D172" s="1125"/>
      <c r="E172" s="73"/>
      <c r="F172" s="73"/>
      <c r="G172" s="793"/>
      <c r="H172" s="451"/>
      <c r="I172" s="451"/>
      <c r="J172" s="808"/>
      <c r="K172" s="808"/>
      <c r="L172" s="808"/>
      <c r="M172" s="808"/>
      <c r="N172" s="808"/>
      <c r="O172" s="808"/>
      <c r="P172" s="808"/>
      <c r="Q172" s="808"/>
      <c r="R172" s="808"/>
      <c r="S172" s="808"/>
      <c r="T172" s="808"/>
      <c r="U172" s="808"/>
      <c r="V172" s="808"/>
      <c r="W172" s="52"/>
      <c r="X172" s="96"/>
    </row>
    <row r="173" spans="1:24" ht="19.5" customHeight="1">
      <c r="A173" s="339"/>
      <c r="B173" s="63" t="s">
        <v>518</v>
      </c>
      <c r="C173" s="57"/>
      <c r="D173" s="974"/>
      <c r="E173" s="73">
        <v>31429</v>
      </c>
      <c r="F173" s="73">
        <f>F174+F190+F247+F258+F263</f>
        <v>29943</v>
      </c>
      <c r="G173" s="320">
        <f>F173-E173</f>
        <v>-1486</v>
      </c>
      <c r="H173" s="814"/>
      <c r="I173" s="814"/>
      <c r="J173" s="814"/>
      <c r="K173" s="814"/>
      <c r="L173" s="814"/>
      <c r="M173" s="814"/>
      <c r="N173" s="814"/>
      <c r="O173" s="814"/>
      <c r="P173" s="814"/>
      <c r="Q173" s="814"/>
      <c r="R173" s="814"/>
      <c r="S173" s="814"/>
      <c r="T173" s="814"/>
      <c r="U173" s="814"/>
      <c r="V173" s="814"/>
      <c r="W173" s="52"/>
      <c r="X173" s="96"/>
    </row>
    <row r="174" spans="1:24" ht="19.5" customHeight="1">
      <c r="A174" s="54"/>
      <c r="B174" s="63"/>
      <c r="C174" s="1051" t="s">
        <v>519</v>
      </c>
      <c r="D174" s="983"/>
      <c r="E174" s="544">
        <v>7430</v>
      </c>
      <c r="F174" s="544">
        <f>F175+F177+F179+F181+F183+F185</f>
        <v>4390</v>
      </c>
      <c r="G174" s="318">
        <f>F174-E174</f>
        <v>-3040</v>
      </c>
      <c r="H174" s="811"/>
      <c r="I174" s="811"/>
      <c r="J174" s="811"/>
      <c r="K174" s="811"/>
      <c r="L174" s="811"/>
      <c r="M174" s="811"/>
      <c r="N174" s="811"/>
      <c r="O174" s="811"/>
      <c r="P174" s="811"/>
      <c r="Q174" s="811"/>
      <c r="R174" s="811"/>
      <c r="S174" s="811"/>
      <c r="T174" s="811"/>
      <c r="U174" s="811"/>
      <c r="V174" s="811"/>
      <c r="W174" s="66"/>
      <c r="X174" s="95"/>
    </row>
    <row r="175" spans="1:24" ht="19.5" customHeight="1">
      <c r="A175" s="54"/>
      <c r="B175" s="63"/>
      <c r="C175" s="1052"/>
      <c r="D175" s="1141" t="s">
        <v>520</v>
      </c>
      <c r="E175" s="68">
        <v>500</v>
      </c>
      <c r="F175" s="68"/>
      <c r="G175" s="317">
        <f>F175-E175</f>
        <v>-500</v>
      </c>
      <c r="H175" s="941" t="s">
        <v>602</v>
      </c>
      <c r="I175" s="942"/>
      <c r="J175" s="539" t="s">
        <v>3</v>
      </c>
      <c r="K175" s="1174">
        <v>1</v>
      </c>
      <c r="L175" s="1174"/>
      <c r="M175" s="539" t="s">
        <v>6</v>
      </c>
      <c r="N175" s="539"/>
      <c r="O175" s="539"/>
      <c r="P175" s="539"/>
      <c r="Q175" s="539"/>
      <c r="R175" s="539"/>
      <c r="S175" s="539"/>
      <c r="T175" s="539"/>
      <c r="U175" s="539" t="s">
        <v>257</v>
      </c>
      <c r="V175" s="539"/>
      <c r="W175" s="869"/>
      <c r="X175" s="486">
        <f aca="true" t="shared" si="8" ref="X175">I175*K175</f>
        <v>0</v>
      </c>
    </row>
    <row r="176" spans="1:24" ht="19.5" customHeight="1">
      <c r="A176" s="54"/>
      <c r="B176" s="801"/>
      <c r="C176" s="1052"/>
      <c r="D176" s="1175"/>
      <c r="E176" s="73"/>
      <c r="F176" s="73"/>
      <c r="G176" s="320"/>
      <c r="H176" s="496"/>
      <c r="I176" s="479"/>
      <c r="J176" s="814"/>
      <c r="K176" s="1160"/>
      <c r="L176" s="1160"/>
      <c r="M176" s="814"/>
      <c r="N176" s="814"/>
      <c r="O176" s="814"/>
      <c r="P176" s="814"/>
      <c r="Q176" s="814"/>
      <c r="R176" s="814"/>
      <c r="S176" s="814"/>
      <c r="T176" s="814"/>
      <c r="U176" s="814"/>
      <c r="V176" s="814"/>
      <c r="W176" s="522"/>
      <c r="X176" s="96"/>
    </row>
    <row r="177" spans="1:24" ht="21" customHeight="1">
      <c r="A177" s="54"/>
      <c r="B177" s="63"/>
      <c r="C177" s="1052"/>
      <c r="D177" s="1145" t="s">
        <v>521</v>
      </c>
      <c r="E177" s="69">
        <v>2000</v>
      </c>
      <c r="F177" s="69">
        <v>1890</v>
      </c>
      <c r="G177" s="318">
        <f>F177-E177</f>
        <v>-110</v>
      </c>
      <c r="H177" s="943" t="s">
        <v>722</v>
      </c>
      <c r="I177" s="944">
        <v>1890000</v>
      </c>
      <c r="J177" s="106" t="s">
        <v>258</v>
      </c>
      <c r="K177" s="1161">
        <v>1</v>
      </c>
      <c r="L177" s="1161"/>
      <c r="M177" s="106" t="s">
        <v>605</v>
      </c>
      <c r="N177" s="106"/>
      <c r="O177" s="106"/>
      <c r="P177" s="106"/>
      <c r="Q177" s="106"/>
      <c r="R177" s="106"/>
      <c r="S177" s="106"/>
      <c r="T177" s="106"/>
      <c r="U177" s="106" t="s">
        <v>257</v>
      </c>
      <c r="V177" s="106"/>
      <c r="W177" s="195"/>
      <c r="X177" s="103">
        <f aca="true" t="shared" si="9" ref="X177">I177*K177</f>
        <v>1890000</v>
      </c>
    </row>
    <row r="178" spans="1:24" ht="21" customHeight="1">
      <c r="A178" s="54"/>
      <c r="B178" s="63"/>
      <c r="C178" s="1052"/>
      <c r="D178" s="1145"/>
      <c r="E178" s="69"/>
      <c r="F178" s="69"/>
      <c r="G178" s="318"/>
      <c r="H178" s="497"/>
      <c r="I178" s="480"/>
      <c r="J178" s="811"/>
      <c r="K178" s="1162"/>
      <c r="L178" s="1162"/>
      <c r="M178" s="106"/>
      <c r="N178" s="811"/>
      <c r="O178" s="811"/>
      <c r="P178" s="811"/>
      <c r="Q178" s="811"/>
      <c r="R178" s="811"/>
      <c r="S178" s="811"/>
      <c r="T178" s="811"/>
      <c r="U178" s="811"/>
      <c r="V178" s="811"/>
      <c r="W178" s="804"/>
      <c r="X178" s="95"/>
    </row>
    <row r="179" spans="1:24" ht="19.5" customHeight="1">
      <c r="A179" s="54"/>
      <c r="B179" s="63"/>
      <c r="C179" s="458"/>
      <c r="D179" s="1141" t="s">
        <v>522</v>
      </c>
      <c r="E179" s="68">
        <v>500</v>
      </c>
      <c r="F179" s="68"/>
      <c r="G179" s="317">
        <f>F179-E179</f>
        <v>-500</v>
      </c>
      <c r="H179" s="945" t="s">
        <v>723</v>
      </c>
      <c r="I179" s="942"/>
      <c r="J179" s="539" t="s">
        <v>258</v>
      </c>
      <c r="K179" s="1174">
        <v>1</v>
      </c>
      <c r="L179" s="1174"/>
      <c r="M179" s="539" t="s">
        <v>608</v>
      </c>
      <c r="N179" s="539"/>
      <c r="O179" s="539"/>
      <c r="P179" s="539"/>
      <c r="Q179" s="539"/>
      <c r="R179" s="539"/>
      <c r="S179" s="539"/>
      <c r="T179" s="539"/>
      <c r="U179" s="539" t="s">
        <v>257</v>
      </c>
      <c r="V179" s="539"/>
      <c r="W179" s="869"/>
      <c r="X179" s="486">
        <f aca="true" t="shared" si="10" ref="X179">I179*K179</f>
        <v>0</v>
      </c>
    </row>
    <row r="180" spans="1:24" ht="19.5" customHeight="1">
      <c r="A180" s="54"/>
      <c r="B180" s="63"/>
      <c r="C180" s="142"/>
      <c r="D180" s="1142"/>
      <c r="E180" s="69"/>
      <c r="F180" s="69"/>
      <c r="G180" s="320"/>
      <c r="H180" s="496"/>
      <c r="I180" s="479"/>
      <c r="J180" s="814"/>
      <c r="K180" s="1160"/>
      <c r="L180" s="1160"/>
      <c r="M180" s="482"/>
      <c r="N180" s="814"/>
      <c r="O180" s="814"/>
      <c r="P180" s="814"/>
      <c r="Q180" s="814"/>
      <c r="R180" s="814"/>
      <c r="S180" s="814"/>
      <c r="T180" s="814"/>
      <c r="U180" s="814"/>
      <c r="V180" s="814"/>
      <c r="W180" s="522"/>
      <c r="X180" s="96"/>
    </row>
    <row r="181" spans="1:24" ht="19.5" customHeight="1">
      <c r="A181" s="54"/>
      <c r="B181" s="63"/>
      <c r="C181" s="458"/>
      <c r="D181" s="1141" t="s">
        <v>576</v>
      </c>
      <c r="E181" s="68">
        <v>300</v>
      </c>
      <c r="F181" s="68">
        <v>300</v>
      </c>
      <c r="G181" s="317">
        <f>F181-E181</f>
        <v>0</v>
      </c>
      <c r="H181" s="945" t="s">
        <v>724</v>
      </c>
      <c r="I181" s="942">
        <v>300000</v>
      </c>
      <c r="J181" s="539" t="s">
        <v>258</v>
      </c>
      <c r="K181" s="1174">
        <v>1</v>
      </c>
      <c r="L181" s="1174"/>
      <c r="M181" s="539" t="s">
        <v>608</v>
      </c>
      <c r="N181" s="539"/>
      <c r="O181" s="539"/>
      <c r="P181" s="539"/>
      <c r="Q181" s="539"/>
      <c r="R181" s="539"/>
      <c r="S181" s="539"/>
      <c r="T181" s="539"/>
      <c r="U181" s="539" t="s">
        <v>257</v>
      </c>
      <c r="V181" s="539"/>
      <c r="W181" s="869"/>
      <c r="X181" s="486">
        <f aca="true" t="shared" si="11" ref="X181">I181*K181</f>
        <v>300000</v>
      </c>
    </row>
    <row r="182" spans="1:24" ht="19.5" customHeight="1">
      <c r="A182" s="54"/>
      <c r="B182" s="63"/>
      <c r="C182" s="142"/>
      <c r="D182" s="1142"/>
      <c r="E182" s="69"/>
      <c r="F182" s="69"/>
      <c r="G182" s="320"/>
      <c r="H182" s="496"/>
      <c r="I182" s="479"/>
      <c r="J182" s="814"/>
      <c r="K182" s="1160"/>
      <c r="L182" s="1160"/>
      <c r="M182" s="482"/>
      <c r="N182" s="814"/>
      <c r="O182" s="814"/>
      <c r="P182" s="814"/>
      <c r="Q182" s="814"/>
      <c r="R182" s="814"/>
      <c r="S182" s="814"/>
      <c r="T182" s="814"/>
      <c r="U182" s="814"/>
      <c r="V182" s="814"/>
      <c r="W182" s="522"/>
      <c r="X182" s="96"/>
    </row>
    <row r="183" spans="1:24" ht="19.5" customHeight="1">
      <c r="A183" s="54"/>
      <c r="B183" s="63"/>
      <c r="C183" s="142"/>
      <c r="D183" s="1141" t="s">
        <v>523</v>
      </c>
      <c r="E183" s="68">
        <v>100</v>
      </c>
      <c r="F183" s="68">
        <v>100</v>
      </c>
      <c r="G183" s="318">
        <f>F183-E183</f>
        <v>0</v>
      </c>
      <c r="H183" s="943" t="s">
        <v>725</v>
      </c>
      <c r="I183" s="944"/>
      <c r="J183" s="106"/>
      <c r="K183" s="1161"/>
      <c r="L183" s="1161"/>
      <c r="M183" s="106"/>
      <c r="N183" s="106"/>
      <c r="O183" s="106"/>
      <c r="P183" s="106"/>
      <c r="Q183" s="106"/>
      <c r="R183" s="106"/>
      <c r="S183" s="106"/>
      <c r="T183" s="106"/>
      <c r="U183" s="106" t="s">
        <v>257</v>
      </c>
      <c r="V183" s="106"/>
      <c r="W183" s="195"/>
      <c r="X183" s="103">
        <f>I183*K183</f>
        <v>0</v>
      </c>
    </row>
    <row r="184" spans="1:24" ht="19.5" customHeight="1">
      <c r="A184" s="54"/>
      <c r="B184" s="63"/>
      <c r="C184" s="142"/>
      <c r="D184" s="1142"/>
      <c r="E184" s="69"/>
      <c r="F184" s="69"/>
      <c r="G184" s="318"/>
      <c r="H184" s="946" t="s">
        <v>726</v>
      </c>
      <c r="I184" s="944">
        <v>50000</v>
      </c>
      <c r="J184" s="106" t="s">
        <v>606</v>
      </c>
      <c r="K184" s="1161">
        <v>2</v>
      </c>
      <c r="L184" s="1161"/>
      <c r="M184" s="106" t="s">
        <v>608</v>
      </c>
      <c r="N184" s="106"/>
      <c r="O184" s="106"/>
      <c r="P184" s="106"/>
      <c r="Q184" s="106"/>
      <c r="R184" s="106"/>
      <c r="S184" s="106"/>
      <c r="T184" s="106"/>
      <c r="U184" s="106" t="s">
        <v>609</v>
      </c>
      <c r="V184" s="106"/>
      <c r="W184" s="195"/>
      <c r="X184" s="103">
        <f>I184*K184</f>
        <v>100000</v>
      </c>
    </row>
    <row r="185" spans="1:24" ht="19.5" customHeight="1">
      <c r="A185" s="54"/>
      <c r="B185" s="63"/>
      <c r="C185" s="142"/>
      <c r="D185" s="1141" t="s">
        <v>524</v>
      </c>
      <c r="E185" s="68">
        <v>4030</v>
      </c>
      <c r="F185" s="68">
        <v>2100</v>
      </c>
      <c r="G185" s="317">
        <f>F185-E185</f>
        <v>-1930</v>
      </c>
      <c r="H185" s="945" t="s">
        <v>727</v>
      </c>
      <c r="I185" s="942">
        <v>30000</v>
      </c>
      <c r="J185" s="539" t="s">
        <v>603</v>
      </c>
      <c r="K185" s="1174">
        <v>30</v>
      </c>
      <c r="L185" s="1174"/>
      <c r="M185" s="539" t="s">
        <v>604</v>
      </c>
      <c r="N185" s="539"/>
      <c r="O185" s="539"/>
      <c r="P185" s="539"/>
      <c r="Q185" s="539"/>
      <c r="R185" s="539"/>
      <c r="S185" s="539"/>
      <c r="T185" s="539"/>
      <c r="U185" s="539" t="s">
        <v>615</v>
      </c>
      <c r="V185" s="539"/>
      <c r="W185" s="869"/>
      <c r="X185" s="486">
        <f aca="true" t="shared" si="12" ref="X185:X189">I185*K185</f>
        <v>900000</v>
      </c>
    </row>
    <row r="186" spans="1:24" ht="19.5" customHeight="1">
      <c r="A186" s="54"/>
      <c r="B186" s="63"/>
      <c r="C186" s="142"/>
      <c r="D186" s="1129"/>
      <c r="E186" s="69"/>
      <c r="F186" s="69"/>
      <c r="G186" s="142"/>
      <c r="H186" s="943" t="s">
        <v>728</v>
      </c>
      <c r="I186" s="944"/>
      <c r="J186" s="106" t="s">
        <v>603</v>
      </c>
      <c r="K186" s="1161"/>
      <c r="L186" s="1161"/>
      <c r="M186" s="106" t="s">
        <v>604</v>
      </c>
      <c r="N186" s="106"/>
      <c r="O186" s="106"/>
      <c r="P186" s="106"/>
      <c r="Q186" s="106"/>
      <c r="R186" s="106"/>
      <c r="S186" s="106"/>
      <c r="T186" s="106"/>
      <c r="U186" s="106" t="s">
        <v>615</v>
      </c>
      <c r="V186" s="106"/>
      <c r="W186" s="195"/>
      <c r="X186" s="103">
        <f t="shared" si="12"/>
        <v>0</v>
      </c>
    </row>
    <row r="187" spans="1:24" ht="19.5" customHeight="1">
      <c r="A187" s="54"/>
      <c r="B187" s="63"/>
      <c r="C187" s="142"/>
      <c r="D187" s="972"/>
      <c r="E187" s="69"/>
      <c r="F187" s="69"/>
      <c r="G187" s="142"/>
      <c r="H187" s="947" t="s">
        <v>729</v>
      </c>
      <c r="I187" s="944"/>
      <c r="J187" s="106" t="s">
        <v>603</v>
      </c>
      <c r="K187" s="1161"/>
      <c r="L187" s="1161"/>
      <c r="M187" s="106" t="s">
        <v>605</v>
      </c>
      <c r="N187" s="106"/>
      <c r="O187" s="106"/>
      <c r="P187" s="106"/>
      <c r="Q187" s="106"/>
      <c r="R187" s="106"/>
      <c r="S187" s="106"/>
      <c r="T187" s="106"/>
      <c r="U187" s="106" t="s">
        <v>615</v>
      </c>
      <c r="V187" s="106"/>
      <c r="W187" s="195"/>
      <c r="X187" s="103">
        <f>I187*K187</f>
        <v>0</v>
      </c>
    </row>
    <row r="188" spans="1:24" ht="19.5" customHeight="1">
      <c r="A188" s="92"/>
      <c r="B188" s="525"/>
      <c r="C188" s="812"/>
      <c r="D188" s="972"/>
      <c r="E188" s="69"/>
      <c r="F188" s="69"/>
      <c r="G188" s="142"/>
      <c r="H188" s="943" t="s">
        <v>730</v>
      </c>
      <c r="I188" s="944"/>
      <c r="J188" s="106" t="s">
        <v>603</v>
      </c>
      <c r="K188" s="1161"/>
      <c r="L188" s="1161"/>
      <c r="M188" s="106" t="s">
        <v>604</v>
      </c>
      <c r="N188" s="106"/>
      <c r="O188" s="106"/>
      <c r="P188" s="106"/>
      <c r="Q188" s="106"/>
      <c r="R188" s="106"/>
      <c r="S188" s="106"/>
      <c r="T188" s="106"/>
      <c r="U188" s="106" t="s">
        <v>615</v>
      </c>
      <c r="V188" s="106"/>
      <c r="W188" s="195"/>
      <c r="X188" s="103">
        <f t="shared" si="12"/>
        <v>0</v>
      </c>
    </row>
    <row r="189" spans="1:24" ht="19.5" customHeight="1">
      <c r="A189" s="92"/>
      <c r="B189" s="525"/>
      <c r="C189" s="815"/>
      <c r="D189" s="971"/>
      <c r="E189" s="73"/>
      <c r="F189" s="73"/>
      <c r="G189" s="140"/>
      <c r="H189" s="948" t="s">
        <v>731</v>
      </c>
      <c r="I189" s="949">
        <v>100000</v>
      </c>
      <c r="J189" s="482" t="s">
        <v>603</v>
      </c>
      <c r="K189" s="1170">
        <v>12</v>
      </c>
      <c r="L189" s="1170"/>
      <c r="M189" s="482" t="s">
        <v>605</v>
      </c>
      <c r="N189" s="482"/>
      <c r="O189" s="482"/>
      <c r="P189" s="482"/>
      <c r="Q189" s="482"/>
      <c r="R189" s="482"/>
      <c r="S189" s="482"/>
      <c r="T189" s="482"/>
      <c r="U189" s="482" t="s">
        <v>615</v>
      </c>
      <c r="V189" s="482"/>
      <c r="W189" s="876"/>
      <c r="X189" s="102">
        <f t="shared" si="12"/>
        <v>1200000</v>
      </c>
    </row>
    <row r="190" spans="1:24" ht="19.5" customHeight="1">
      <c r="A190" s="54"/>
      <c r="B190" s="63"/>
      <c r="C190" s="1051" t="s">
        <v>525</v>
      </c>
      <c r="D190" s="983"/>
      <c r="E190" s="69">
        <v>17618</v>
      </c>
      <c r="F190" s="69">
        <v>18737</v>
      </c>
      <c r="G190" s="318">
        <f>F190-E190</f>
        <v>1119</v>
      </c>
      <c r="H190" s="66"/>
      <c r="I190" s="480"/>
      <c r="J190" s="811"/>
      <c r="K190" s="811"/>
      <c r="L190" s="811"/>
      <c r="M190" s="811"/>
      <c r="N190" s="811"/>
      <c r="O190" s="811"/>
      <c r="P190" s="811"/>
      <c r="Q190" s="811"/>
      <c r="R190" s="811"/>
      <c r="S190" s="811"/>
      <c r="T190" s="811"/>
      <c r="U190" s="811"/>
      <c r="V190" s="811"/>
      <c r="W190" s="66"/>
      <c r="X190" s="481"/>
    </row>
    <row r="191" spans="1:24" ht="19.5" customHeight="1">
      <c r="A191" s="54"/>
      <c r="B191" s="63"/>
      <c r="C191" s="1052"/>
      <c r="D191" s="1141" t="s">
        <v>526</v>
      </c>
      <c r="E191" s="68">
        <v>0</v>
      </c>
      <c r="F191" s="68"/>
      <c r="G191" s="317">
        <f>F191-E191</f>
        <v>0</v>
      </c>
      <c r="H191" s="78"/>
      <c r="I191" s="478"/>
      <c r="J191" s="813"/>
      <c r="K191" s="1166"/>
      <c r="L191" s="1166"/>
      <c r="M191" s="813"/>
      <c r="N191" s="813"/>
      <c r="O191" s="813"/>
      <c r="P191" s="813"/>
      <c r="Q191" s="813"/>
      <c r="R191" s="813"/>
      <c r="S191" s="813"/>
      <c r="T191" s="813"/>
      <c r="U191" s="813"/>
      <c r="V191" s="813"/>
      <c r="W191" s="803"/>
      <c r="X191" s="74">
        <f>I191*K191</f>
        <v>0</v>
      </c>
    </row>
    <row r="192" spans="1:24" ht="19.5" customHeight="1">
      <c r="A192" s="54"/>
      <c r="B192" s="63"/>
      <c r="C192" s="1052"/>
      <c r="D192" s="1145"/>
      <c r="E192" s="69"/>
      <c r="F192" s="69"/>
      <c r="G192" s="320"/>
      <c r="H192" s="52"/>
      <c r="I192" s="479"/>
      <c r="J192" s="814"/>
      <c r="K192" s="814"/>
      <c r="L192" s="814"/>
      <c r="M192" s="814"/>
      <c r="N192" s="814"/>
      <c r="O192" s="814"/>
      <c r="P192" s="814"/>
      <c r="Q192" s="814"/>
      <c r="R192" s="814"/>
      <c r="S192" s="814"/>
      <c r="T192" s="814"/>
      <c r="U192" s="814"/>
      <c r="V192" s="814"/>
      <c r="W192" s="522"/>
      <c r="X192" s="96"/>
    </row>
    <row r="193" spans="1:24" ht="19.5" customHeight="1">
      <c r="A193" s="1168" t="str">
        <f>A152</f>
        <v>03.사업비</v>
      </c>
      <c r="B193" s="1149" t="str">
        <f>B173</f>
        <v>33.사업비</v>
      </c>
      <c r="C193" s="1052" t="str">
        <f>C190</f>
        <v>332.사회심리재활사업비</v>
      </c>
      <c r="D193" s="1141" t="s">
        <v>527</v>
      </c>
      <c r="E193" s="68">
        <v>760</v>
      </c>
      <c r="F193" s="68">
        <v>800</v>
      </c>
      <c r="G193" s="317">
        <f>F193-E193</f>
        <v>40</v>
      </c>
      <c r="H193" s="464" t="s">
        <v>732</v>
      </c>
      <c r="I193" s="942">
        <v>800000</v>
      </c>
      <c r="J193" s="539" t="s">
        <v>603</v>
      </c>
      <c r="K193" s="1171">
        <v>1</v>
      </c>
      <c r="L193" s="1171"/>
      <c r="M193" s="539" t="s">
        <v>605</v>
      </c>
      <c r="N193" s="539"/>
      <c r="O193" s="539"/>
      <c r="P193" s="539"/>
      <c r="Q193" s="539"/>
      <c r="R193" s="539"/>
      <c r="S193" s="539"/>
      <c r="T193" s="539"/>
      <c r="U193" s="539" t="s">
        <v>615</v>
      </c>
      <c r="V193" s="539"/>
      <c r="W193" s="869"/>
      <c r="X193" s="486">
        <f>I193*K193</f>
        <v>800000</v>
      </c>
    </row>
    <row r="194" spans="1:24" ht="19.5" customHeight="1">
      <c r="A194" s="1168"/>
      <c r="B194" s="1149"/>
      <c r="C194" s="1052"/>
      <c r="D194" s="1142"/>
      <c r="E194" s="73"/>
      <c r="F194" s="73"/>
      <c r="G194" s="320"/>
      <c r="H194" s="52"/>
      <c r="I194" s="479"/>
      <c r="J194" s="814"/>
      <c r="K194" s="1164"/>
      <c r="L194" s="1164"/>
      <c r="M194" s="814"/>
      <c r="N194" s="814"/>
      <c r="O194" s="814"/>
      <c r="P194" s="814"/>
      <c r="Q194" s="814"/>
      <c r="R194" s="814"/>
      <c r="S194" s="814"/>
      <c r="T194" s="814"/>
      <c r="U194" s="814"/>
      <c r="V194" s="814"/>
      <c r="W194" s="522"/>
      <c r="X194" s="96"/>
    </row>
    <row r="195" spans="1:24" ht="19.5" customHeight="1">
      <c r="A195" s="845"/>
      <c r="B195" s="288"/>
      <c r="C195" s="1052"/>
      <c r="D195" s="1145" t="s">
        <v>528</v>
      </c>
      <c r="E195" s="69"/>
      <c r="F195" s="69"/>
      <c r="G195" s="318">
        <f>F195-E195</f>
        <v>0</v>
      </c>
      <c r="H195" s="66"/>
      <c r="I195" s="480"/>
      <c r="J195" s="811"/>
      <c r="K195" s="1162"/>
      <c r="L195" s="1162"/>
      <c r="M195" s="811"/>
      <c r="N195" s="811"/>
      <c r="O195" s="811"/>
      <c r="P195" s="811"/>
      <c r="Q195" s="811"/>
      <c r="R195" s="811"/>
      <c r="S195" s="811"/>
      <c r="T195" s="811"/>
      <c r="U195" s="811"/>
      <c r="V195" s="811"/>
      <c r="W195" s="804"/>
      <c r="X195" s="95">
        <f>I195*K195</f>
        <v>0</v>
      </c>
    </row>
    <row r="196" spans="1:24" ht="19.5" customHeight="1">
      <c r="A196" s="845"/>
      <c r="B196" s="288"/>
      <c r="C196" s="816"/>
      <c r="D196" s="1145"/>
      <c r="E196" s="69"/>
      <c r="F196" s="69"/>
      <c r="G196" s="320"/>
      <c r="H196" s="52"/>
      <c r="I196" s="479"/>
      <c r="J196" s="814"/>
      <c r="K196" s="1160"/>
      <c r="L196" s="1160"/>
      <c r="M196" s="814"/>
      <c r="N196" s="814"/>
      <c r="O196" s="814"/>
      <c r="P196" s="814"/>
      <c r="Q196" s="814"/>
      <c r="R196" s="814"/>
      <c r="S196" s="814"/>
      <c r="T196" s="814"/>
      <c r="U196" s="814"/>
      <c r="V196" s="814"/>
      <c r="W196" s="522"/>
      <c r="X196" s="96"/>
    </row>
    <row r="197" spans="1:24" ht="19.5" customHeight="1">
      <c r="A197" s="54"/>
      <c r="B197" s="63"/>
      <c r="C197" s="816"/>
      <c r="D197" s="1141" t="s">
        <v>529</v>
      </c>
      <c r="E197" s="68"/>
      <c r="F197" s="68"/>
      <c r="G197" s="317">
        <f>F197-E197</f>
        <v>0</v>
      </c>
      <c r="H197" s="311"/>
      <c r="I197" s="478"/>
      <c r="J197" s="813"/>
      <c r="K197" s="1166"/>
      <c r="L197" s="1166"/>
      <c r="M197" s="813"/>
      <c r="N197" s="813"/>
      <c r="O197" s="813"/>
      <c r="P197" s="813"/>
      <c r="Q197" s="813"/>
      <c r="R197" s="813"/>
      <c r="S197" s="813"/>
      <c r="T197" s="813"/>
      <c r="U197" s="813"/>
      <c r="V197" s="813"/>
      <c r="W197" s="803"/>
      <c r="X197" s="74">
        <f>I197*K197</f>
        <v>0</v>
      </c>
    </row>
    <row r="198" spans="1:24" ht="19.5" customHeight="1">
      <c r="A198" s="54"/>
      <c r="B198" s="63"/>
      <c r="C198" s="816"/>
      <c r="D198" s="1142"/>
      <c r="E198" s="73"/>
      <c r="F198" s="73"/>
      <c r="G198" s="320"/>
      <c r="H198" s="284"/>
      <c r="I198" s="460"/>
      <c r="J198" s="460"/>
      <c r="K198" s="460"/>
      <c r="L198" s="460"/>
      <c r="M198" s="460"/>
      <c r="N198" s="460"/>
      <c r="O198" s="460"/>
      <c r="P198" s="460"/>
      <c r="Q198" s="460"/>
      <c r="R198" s="460"/>
      <c r="S198" s="460"/>
      <c r="T198" s="460"/>
      <c r="U198" s="460"/>
      <c r="V198" s="460"/>
      <c r="W198" s="460"/>
      <c r="X198" s="488"/>
    </row>
    <row r="199" spans="1:24" ht="19.5" customHeight="1">
      <c r="A199" s="54"/>
      <c r="B199" s="63"/>
      <c r="C199" s="816"/>
      <c r="D199" s="1141" t="s">
        <v>530</v>
      </c>
      <c r="E199" s="68"/>
      <c r="F199" s="68"/>
      <c r="G199" s="317">
        <f>F199-E199</f>
        <v>0</v>
      </c>
      <c r="H199" s="66"/>
      <c r="I199" s="480"/>
      <c r="J199" s="811"/>
      <c r="K199" s="1165"/>
      <c r="L199" s="1165"/>
      <c r="M199" s="811"/>
      <c r="N199" s="811"/>
      <c r="O199" s="811"/>
      <c r="P199" s="811"/>
      <c r="Q199" s="811"/>
      <c r="R199" s="811"/>
      <c r="S199" s="811"/>
      <c r="T199" s="811"/>
      <c r="U199" s="811" t="s">
        <v>436</v>
      </c>
      <c r="V199" s="811"/>
      <c r="W199" s="804"/>
      <c r="X199" s="95">
        <f>I199*K199</f>
        <v>0</v>
      </c>
    </row>
    <row r="200" spans="1:24" ht="19.5" customHeight="1">
      <c r="A200" s="54"/>
      <c r="B200" s="63"/>
      <c r="C200" s="816"/>
      <c r="D200" s="1145"/>
      <c r="E200" s="73"/>
      <c r="F200" s="73"/>
      <c r="G200" s="320"/>
      <c r="H200" s="66"/>
      <c r="I200" s="479"/>
      <c r="J200" s="814"/>
      <c r="K200" s="814"/>
      <c r="L200" s="814"/>
      <c r="M200" s="814"/>
      <c r="N200" s="814"/>
      <c r="O200" s="814"/>
      <c r="P200" s="814"/>
      <c r="Q200" s="814"/>
      <c r="R200" s="814"/>
      <c r="S200" s="814"/>
      <c r="T200" s="814"/>
      <c r="U200" s="814"/>
      <c r="V200" s="814"/>
      <c r="W200" s="522"/>
      <c r="X200" s="96"/>
    </row>
    <row r="201" spans="1:24" ht="19.5" customHeight="1">
      <c r="A201" s="54"/>
      <c r="B201" s="63"/>
      <c r="C201" s="798"/>
      <c r="D201" s="1141" t="s">
        <v>531</v>
      </c>
      <c r="E201" s="69">
        <v>310</v>
      </c>
      <c r="F201" s="69">
        <v>310</v>
      </c>
      <c r="G201" s="318">
        <f>F201-E201</f>
        <v>0</v>
      </c>
      <c r="H201" s="892" t="s">
        <v>733</v>
      </c>
      <c r="I201" s="944">
        <v>310000</v>
      </c>
      <c r="J201" s="106" t="s">
        <v>603</v>
      </c>
      <c r="K201" s="1163">
        <v>1</v>
      </c>
      <c r="L201" s="1163"/>
      <c r="M201" s="106" t="s">
        <v>605</v>
      </c>
      <c r="N201" s="106"/>
      <c r="O201" s="106"/>
      <c r="P201" s="106"/>
      <c r="Q201" s="106"/>
      <c r="R201" s="106"/>
      <c r="S201" s="106"/>
      <c r="T201" s="106"/>
      <c r="U201" s="106" t="s">
        <v>615</v>
      </c>
      <c r="V201" s="106"/>
      <c r="W201" s="195"/>
      <c r="X201" s="103">
        <f>I201*K201</f>
        <v>310000</v>
      </c>
    </row>
    <row r="202" spans="1:24" ht="19.5" customHeight="1">
      <c r="A202" s="54"/>
      <c r="B202" s="63"/>
      <c r="C202" s="798"/>
      <c r="D202" s="1142"/>
      <c r="E202" s="69"/>
      <c r="F202" s="73"/>
      <c r="G202" s="318"/>
      <c r="H202" s="431"/>
      <c r="I202" s="480"/>
      <c r="J202" s="811"/>
      <c r="K202" s="809"/>
      <c r="L202" s="809"/>
      <c r="M202" s="811"/>
      <c r="N202" s="811"/>
      <c r="O202" s="811"/>
      <c r="P202" s="811"/>
      <c r="Q202" s="811"/>
      <c r="R202" s="811"/>
      <c r="S202" s="811"/>
      <c r="T202" s="811"/>
      <c r="U202" s="811"/>
      <c r="V202" s="811"/>
      <c r="W202" s="804"/>
      <c r="X202" s="95"/>
    </row>
    <row r="203" spans="1:24" ht="19.5" customHeight="1">
      <c r="A203" s="54"/>
      <c r="B203" s="63"/>
      <c r="C203" s="798"/>
      <c r="D203" s="1141" t="s">
        <v>532</v>
      </c>
      <c r="E203" s="843">
        <v>1000</v>
      </c>
      <c r="F203" s="69">
        <v>424</v>
      </c>
      <c r="G203" s="992"/>
      <c r="H203" s="892" t="s">
        <v>734</v>
      </c>
      <c r="I203" s="892"/>
      <c r="J203" s="892"/>
      <c r="K203" s="892"/>
      <c r="L203" s="892"/>
      <c r="M203" s="892"/>
      <c r="N203" s="892"/>
      <c r="O203" s="892"/>
      <c r="P203" s="892"/>
      <c r="Q203" s="892"/>
      <c r="R203" s="892"/>
      <c r="S203" s="892"/>
      <c r="T203" s="892"/>
      <c r="U203" s="892"/>
      <c r="V203" s="892"/>
      <c r="W203" s="892"/>
      <c r="X203" s="950"/>
    </row>
    <row r="204" spans="1:24" ht="16.5" customHeight="1">
      <c r="A204" s="54"/>
      <c r="B204" s="63"/>
      <c r="C204" s="798"/>
      <c r="D204" s="1145"/>
      <c r="E204" s="292"/>
      <c r="F204" s="545"/>
      <c r="G204" s="627"/>
      <c r="H204" s="865" t="s">
        <v>735</v>
      </c>
      <c r="I204" s="944">
        <v>2588</v>
      </c>
      <c r="J204" s="106" t="s">
        <v>606</v>
      </c>
      <c r="K204" s="1163">
        <v>40</v>
      </c>
      <c r="L204" s="1163"/>
      <c r="M204" s="106" t="s">
        <v>608</v>
      </c>
      <c r="N204" s="106"/>
      <c r="O204" s="106"/>
      <c r="P204" s="106"/>
      <c r="Q204" s="106"/>
      <c r="R204" s="106"/>
      <c r="S204" s="106"/>
      <c r="T204" s="106"/>
      <c r="U204" s="106" t="s">
        <v>609</v>
      </c>
      <c r="V204" s="106"/>
      <c r="W204" s="195"/>
      <c r="X204" s="103">
        <v>103540</v>
      </c>
    </row>
    <row r="205" spans="1:24" ht="16.5" customHeight="1">
      <c r="A205" s="54"/>
      <c r="B205" s="63"/>
      <c r="C205" s="798"/>
      <c r="D205" s="1145"/>
      <c r="E205" s="292"/>
      <c r="F205" s="545"/>
      <c r="G205" s="627"/>
      <c r="H205" s="865" t="s">
        <v>736</v>
      </c>
      <c r="I205" s="944">
        <v>8000</v>
      </c>
      <c r="J205" s="106" t="s">
        <v>606</v>
      </c>
      <c r="K205" s="1163">
        <v>40</v>
      </c>
      <c r="L205" s="1163"/>
      <c r="M205" s="106" t="s">
        <v>608</v>
      </c>
      <c r="N205" s="106"/>
      <c r="O205" s="1163"/>
      <c r="P205" s="1163"/>
      <c r="Q205" s="106"/>
      <c r="R205" s="106"/>
      <c r="S205" s="106"/>
      <c r="T205" s="106"/>
      <c r="U205" s="106" t="s">
        <v>609</v>
      </c>
      <c r="V205" s="106"/>
      <c r="W205" s="195"/>
      <c r="X205" s="103">
        <v>320000</v>
      </c>
    </row>
    <row r="206" spans="1:24" ht="16.5" customHeight="1">
      <c r="A206" s="54"/>
      <c r="B206" s="63"/>
      <c r="C206" s="798"/>
      <c r="D206" s="1145"/>
      <c r="E206" s="292"/>
      <c r="F206" s="545"/>
      <c r="G206" s="627"/>
      <c r="H206" s="865"/>
      <c r="I206" s="944"/>
      <c r="J206" s="106"/>
      <c r="K206" s="1163"/>
      <c r="L206" s="1163"/>
      <c r="M206" s="106"/>
      <c r="N206" s="106"/>
      <c r="O206" s="1163"/>
      <c r="P206" s="1163"/>
      <c r="Q206" s="106"/>
      <c r="R206" s="106"/>
      <c r="S206" s="106"/>
      <c r="T206" s="106"/>
      <c r="U206" s="106" t="s">
        <v>609</v>
      </c>
      <c r="V206" s="106"/>
      <c r="W206" s="195"/>
      <c r="X206" s="103">
        <f>I206*K206*O206</f>
        <v>0</v>
      </c>
    </row>
    <row r="207" spans="1:24" ht="16.5" customHeight="1">
      <c r="A207" s="54"/>
      <c r="B207" s="63"/>
      <c r="C207" s="798"/>
      <c r="D207" s="1142"/>
      <c r="E207" s="541"/>
      <c r="F207" s="541"/>
      <c r="G207" s="535"/>
      <c r="H207" s="864"/>
      <c r="I207" s="479"/>
      <c r="J207" s="814"/>
      <c r="K207" s="1164"/>
      <c r="L207" s="1164"/>
      <c r="M207" s="814"/>
      <c r="N207" s="814"/>
      <c r="O207" s="1165"/>
      <c r="P207" s="1165"/>
      <c r="Q207" s="811"/>
      <c r="R207" s="814"/>
      <c r="S207" s="814"/>
      <c r="T207" s="814"/>
      <c r="U207" s="814"/>
      <c r="V207" s="814"/>
      <c r="W207" s="522"/>
      <c r="X207" s="95"/>
    </row>
    <row r="208" spans="1:24" ht="20.25" customHeight="1">
      <c r="A208" s="54"/>
      <c r="B208" s="63"/>
      <c r="C208" s="798"/>
      <c r="D208" s="1141" t="s">
        <v>533</v>
      </c>
      <c r="E208" s="68"/>
      <c r="F208" s="68"/>
      <c r="G208" s="317">
        <f>F208-E208</f>
        <v>0</v>
      </c>
      <c r="H208" s="510"/>
      <c r="I208" s="478"/>
      <c r="J208" s="813"/>
      <c r="K208" s="1166"/>
      <c r="L208" s="1166"/>
      <c r="M208" s="813"/>
      <c r="N208" s="813"/>
      <c r="O208" s="813"/>
      <c r="P208" s="813"/>
      <c r="Q208" s="813"/>
      <c r="R208" s="813"/>
      <c r="S208" s="813"/>
      <c r="T208" s="813"/>
      <c r="U208" s="813"/>
      <c r="V208" s="813"/>
      <c r="W208" s="803"/>
      <c r="X208" s="74"/>
    </row>
    <row r="209" spans="1:24" ht="20.25" customHeight="1">
      <c r="A209" s="54"/>
      <c r="B209" s="63"/>
      <c r="C209" s="798"/>
      <c r="D209" s="1142"/>
      <c r="E209" s="73"/>
      <c r="F209" s="73"/>
      <c r="G209" s="320"/>
      <c r="H209" s="51"/>
      <c r="I209" s="479"/>
      <c r="J209" s="814"/>
      <c r="K209" s="1164"/>
      <c r="L209" s="1164"/>
      <c r="M209" s="814"/>
      <c r="N209" s="814"/>
      <c r="O209" s="814"/>
      <c r="P209" s="814"/>
      <c r="Q209" s="814"/>
      <c r="R209" s="814"/>
      <c r="S209" s="814"/>
      <c r="T209" s="814"/>
      <c r="U209" s="814"/>
      <c r="V209" s="814"/>
      <c r="W209" s="522"/>
      <c r="X209" s="96"/>
    </row>
    <row r="210" spans="1:24" ht="20.25" customHeight="1">
      <c r="A210" s="54"/>
      <c r="B210" s="63"/>
      <c r="C210" s="798"/>
      <c r="D210" s="1145" t="s">
        <v>534</v>
      </c>
      <c r="E210" s="292"/>
      <c r="F210" s="292"/>
      <c r="G210" s="627"/>
      <c r="H210" s="133"/>
      <c r="I210" s="480"/>
      <c r="J210" s="811"/>
      <c r="K210" s="1165"/>
      <c r="L210" s="1165"/>
      <c r="M210" s="811"/>
      <c r="N210" s="811"/>
      <c r="O210" s="811"/>
      <c r="P210" s="811"/>
      <c r="Q210" s="811"/>
      <c r="R210" s="811"/>
      <c r="S210" s="811"/>
      <c r="T210" s="811"/>
      <c r="U210" s="811"/>
      <c r="V210" s="811"/>
      <c r="W210" s="804"/>
      <c r="X210" s="95"/>
    </row>
    <row r="211" spans="1:24" ht="20.25" customHeight="1">
      <c r="A211" s="54"/>
      <c r="B211" s="63"/>
      <c r="C211" s="798"/>
      <c r="D211" s="1142"/>
      <c r="E211" s="541"/>
      <c r="F211" s="541"/>
      <c r="G211" s="535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489"/>
    </row>
    <row r="212" spans="1:24" ht="19.5" customHeight="1">
      <c r="A212" s="54"/>
      <c r="B212" s="63"/>
      <c r="C212" s="798"/>
      <c r="D212" s="1141" t="s">
        <v>291</v>
      </c>
      <c r="E212" s="68">
        <v>494</v>
      </c>
      <c r="F212" s="68">
        <v>640</v>
      </c>
      <c r="G212" s="317">
        <f>F212-E212</f>
        <v>146</v>
      </c>
      <c r="H212" s="891" t="s">
        <v>722</v>
      </c>
      <c r="I212" s="942">
        <v>361000</v>
      </c>
      <c r="J212" s="539" t="s">
        <v>603</v>
      </c>
      <c r="K212" s="1171">
        <v>1</v>
      </c>
      <c r="L212" s="1171"/>
      <c r="M212" s="539" t="s">
        <v>605</v>
      </c>
      <c r="N212" s="539"/>
      <c r="O212" s="539"/>
      <c r="P212" s="539"/>
      <c r="Q212" s="539"/>
      <c r="R212" s="539"/>
      <c r="S212" s="539"/>
      <c r="T212" s="539"/>
      <c r="U212" s="539" t="s">
        <v>615</v>
      </c>
      <c r="V212" s="539"/>
      <c r="W212" s="869"/>
      <c r="X212" s="486">
        <f>I212*K212</f>
        <v>361000</v>
      </c>
    </row>
    <row r="213" spans="1:24" ht="19.5" customHeight="1">
      <c r="A213" s="54"/>
      <c r="B213" s="63"/>
      <c r="C213" s="798"/>
      <c r="D213" s="1145"/>
      <c r="E213" s="69"/>
      <c r="F213" s="69"/>
      <c r="G213" s="318"/>
      <c r="H213" s="951" t="s">
        <v>737</v>
      </c>
      <c r="I213" s="944">
        <v>83600</v>
      </c>
      <c r="J213" s="106" t="s">
        <v>603</v>
      </c>
      <c r="K213" s="1163">
        <v>2</v>
      </c>
      <c r="L213" s="1163"/>
      <c r="M213" s="106" t="s">
        <v>605</v>
      </c>
      <c r="N213" s="106"/>
      <c r="O213" s="106"/>
      <c r="P213" s="106"/>
      <c r="Q213" s="106"/>
      <c r="R213" s="106"/>
      <c r="S213" s="106"/>
      <c r="T213" s="106"/>
      <c r="U213" s="106" t="s">
        <v>615</v>
      </c>
      <c r="V213" s="106"/>
      <c r="W213" s="195"/>
      <c r="X213" s="103">
        <f>I213*K213</f>
        <v>167200</v>
      </c>
    </row>
    <row r="214" spans="1:24" ht="19.5" customHeight="1">
      <c r="A214" s="54"/>
      <c r="B214" s="63"/>
      <c r="C214" s="798"/>
      <c r="D214" s="543"/>
      <c r="E214" s="73"/>
      <c r="F214" s="73"/>
      <c r="G214" s="320"/>
      <c r="H214" s="938" t="s">
        <v>738</v>
      </c>
      <c r="I214" s="949">
        <v>112000</v>
      </c>
      <c r="J214" s="482" t="s">
        <v>603</v>
      </c>
      <c r="K214" s="1172">
        <v>1</v>
      </c>
      <c r="L214" s="1172"/>
      <c r="M214" s="482" t="s">
        <v>605</v>
      </c>
      <c r="N214" s="482"/>
      <c r="O214" s="482"/>
      <c r="P214" s="482"/>
      <c r="Q214" s="482"/>
      <c r="R214" s="482"/>
      <c r="S214" s="482"/>
      <c r="T214" s="482"/>
      <c r="U214" s="482" t="s">
        <v>615</v>
      </c>
      <c r="V214" s="482"/>
      <c r="W214" s="876"/>
      <c r="X214" s="102">
        <f>I214*K214</f>
        <v>112000</v>
      </c>
    </row>
    <row r="215" spans="1:24" ht="19.5" customHeight="1">
      <c r="A215" s="54"/>
      <c r="B215" s="63"/>
      <c r="C215" s="468"/>
      <c r="D215" s="1141" t="s">
        <v>535</v>
      </c>
      <c r="E215" s="68">
        <v>2000</v>
      </c>
      <c r="F215" s="68">
        <v>2680</v>
      </c>
      <c r="G215" s="317">
        <f>F215-E215</f>
        <v>680</v>
      </c>
      <c r="H215" s="952" t="s">
        <v>739</v>
      </c>
      <c r="I215" s="944">
        <v>10000</v>
      </c>
      <c r="J215" s="106" t="s">
        <v>603</v>
      </c>
      <c r="K215" s="1163">
        <v>9</v>
      </c>
      <c r="L215" s="1163"/>
      <c r="M215" s="106" t="s">
        <v>604</v>
      </c>
      <c r="N215" s="106" t="s">
        <v>603</v>
      </c>
      <c r="O215" s="106">
        <v>2</v>
      </c>
      <c r="P215" s="106" t="s">
        <v>605</v>
      </c>
      <c r="Q215" s="106" t="s">
        <v>603</v>
      </c>
      <c r="R215" s="1178">
        <v>11</v>
      </c>
      <c r="S215" s="1178"/>
      <c r="T215" s="106" t="s">
        <v>614</v>
      </c>
      <c r="U215" s="106" t="s">
        <v>615</v>
      </c>
      <c r="V215" s="106"/>
      <c r="W215" s="195"/>
      <c r="X215" s="103">
        <v>2220000</v>
      </c>
    </row>
    <row r="216" spans="1:24" ht="19.5" customHeight="1">
      <c r="A216" s="54"/>
      <c r="B216" s="63"/>
      <c r="C216" s="133"/>
      <c r="D216" s="1142"/>
      <c r="E216" s="73"/>
      <c r="F216" s="73"/>
      <c r="G216" s="320"/>
      <c r="H216" s="542" t="s">
        <v>740</v>
      </c>
      <c r="I216" s="949">
        <v>46000</v>
      </c>
      <c r="J216" s="482" t="s">
        <v>603</v>
      </c>
      <c r="K216" s="1170">
        <v>10</v>
      </c>
      <c r="L216" s="1170"/>
      <c r="M216" s="482" t="s">
        <v>605</v>
      </c>
      <c r="N216" s="482"/>
      <c r="O216" s="482"/>
      <c r="P216" s="482"/>
      <c r="Q216" s="482"/>
      <c r="R216" s="482"/>
      <c r="S216" s="482"/>
      <c r="T216" s="482"/>
      <c r="U216" s="482" t="s">
        <v>615</v>
      </c>
      <c r="V216" s="482"/>
      <c r="W216" s="876"/>
      <c r="X216" s="102">
        <f>I216*K216</f>
        <v>460000</v>
      </c>
    </row>
    <row r="217" spans="1:24" ht="19.5" customHeight="1">
      <c r="A217" s="54"/>
      <c r="B217" s="63"/>
      <c r="C217" s="133"/>
      <c r="D217" s="1141" t="s">
        <v>286</v>
      </c>
      <c r="E217" s="68">
        <v>500</v>
      </c>
      <c r="F217" s="68">
        <v>500</v>
      </c>
      <c r="G217" s="318">
        <f>F217-E217</f>
        <v>0</v>
      </c>
      <c r="H217" s="431" t="s">
        <v>741</v>
      </c>
      <c r="I217" s="944">
        <v>200000</v>
      </c>
      <c r="J217" s="106" t="s">
        <v>603</v>
      </c>
      <c r="K217" s="1161">
        <v>1</v>
      </c>
      <c r="L217" s="1161"/>
      <c r="M217" s="106" t="s">
        <v>605</v>
      </c>
      <c r="N217" s="106"/>
      <c r="O217" s="106"/>
      <c r="P217" s="106"/>
      <c r="Q217" s="106"/>
      <c r="R217" s="106"/>
      <c r="S217" s="106"/>
      <c r="T217" s="106"/>
      <c r="U217" s="106" t="s">
        <v>615</v>
      </c>
      <c r="V217" s="106"/>
      <c r="W217" s="195"/>
      <c r="X217" s="103">
        <f>I217*K217</f>
        <v>200000</v>
      </c>
    </row>
    <row r="218" spans="1:24" ht="19.5" customHeight="1">
      <c r="A218" s="54"/>
      <c r="B218" s="63"/>
      <c r="C218" s="133"/>
      <c r="D218" s="1142"/>
      <c r="E218" s="73"/>
      <c r="F218" s="73"/>
      <c r="G218" s="318"/>
      <c r="H218" s="953" t="s">
        <v>742</v>
      </c>
      <c r="I218" s="949">
        <v>300000</v>
      </c>
      <c r="J218" s="482" t="s">
        <v>603</v>
      </c>
      <c r="K218" s="1170">
        <v>1</v>
      </c>
      <c r="L218" s="1170"/>
      <c r="M218" s="482" t="s">
        <v>605</v>
      </c>
      <c r="N218" s="482"/>
      <c r="O218" s="482"/>
      <c r="P218" s="482"/>
      <c r="Q218" s="482"/>
      <c r="R218" s="482"/>
      <c r="S218" s="482"/>
      <c r="T218" s="482"/>
      <c r="U218" s="482" t="s">
        <v>615</v>
      </c>
      <c r="V218" s="482"/>
      <c r="W218" s="542"/>
      <c r="X218" s="102">
        <f>I218*K218</f>
        <v>300000</v>
      </c>
    </row>
    <row r="219" spans="1:24" ht="19.5" customHeight="1">
      <c r="A219" s="54"/>
      <c r="B219" s="63"/>
      <c r="C219" s="133"/>
      <c r="D219" s="1141" t="s">
        <v>536</v>
      </c>
      <c r="E219" s="68"/>
      <c r="F219" s="68"/>
      <c r="G219" s="317">
        <f>F219-E219</f>
        <v>0</v>
      </c>
      <c r="H219" s="431"/>
      <c r="I219" s="480"/>
      <c r="J219" s="811"/>
      <c r="K219" s="1165"/>
      <c r="L219" s="1165"/>
      <c r="M219" s="106"/>
      <c r="N219" s="813"/>
      <c r="O219" s="813"/>
      <c r="P219" s="813"/>
      <c r="Q219" s="811"/>
      <c r="R219" s="811"/>
      <c r="S219" s="811"/>
      <c r="T219" s="811"/>
      <c r="U219" s="811"/>
      <c r="V219" s="811"/>
      <c r="W219" s="804"/>
      <c r="X219" s="95"/>
    </row>
    <row r="220" spans="1:24" ht="19.5" customHeight="1">
      <c r="A220" s="54"/>
      <c r="B220" s="63"/>
      <c r="C220" s="133"/>
      <c r="D220" s="1145"/>
      <c r="E220" s="73"/>
      <c r="F220" s="73"/>
      <c r="G220" s="320"/>
      <c r="H220" s="52"/>
      <c r="I220" s="480"/>
      <c r="J220" s="811"/>
      <c r="K220" s="1165"/>
      <c r="L220" s="1165"/>
      <c r="M220" s="106"/>
      <c r="N220" s="814"/>
      <c r="O220" s="814"/>
      <c r="P220" s="814"/>
      <c r="Q220" s="811"/>
      <c r="R220" s="811"/>
      <c r="S220" s="811"/>
      <c r="T220" s="811"/>
      <c r="U220" s="811"/>
      <c r="V220" s="811"/>
      <c r="W220" s="804"/>
      <c r="X220" s="95"/>
    </row>
    <row r="221" spans="1:24" ht="19.5" customHeight="1">
      <c r="A221" s="54"/>
      <c r="B221" s="292"/>
      <c r="C221" s="133"/>
      <c r="D221" s="1141" t="s">
        <v>537</v>
      </c>
      <c r="E221" s="68">
        <v>1500</v>
      </c>
      <c r="F221" s="68">
        <v>1500</v>
      </c>
      <c r="G221" s="317">
        <f>F221-E221</f>
        <v>0</v>
      </c>
      <c r="H221" s="844" t="s">
        <v>743</v>
      </c>
      <c r="I221" s="942">
        <v>50000</v>
      </c>
      <c r="J221" s="539" t="s">
        <v>603</v>
      </c>
      <c r="K221" s="1171">
        <v>12</v>
      </c>
      <c r="L221" s="1171"/>
      <c r="M221" s="539" t="s">
        <v>605</v>
      </c>
      <c r="N221" s="539"/>
      <c r="O221" s="539"/>
      <c r="P221" s="539"/>
      <c r="Q221" s="539"/>
      <c r="R221" s="539"/>
      <c r="S221" s="539"/>
      <c r="T221" s="539"/>
      <c r="U221" s="539" t="s">
        <v>615</v>
      </c>
      <c r="V221" s="539"/>
      <c r="W221" s="869"/>
      <c r="X221" s="486">
        <f>I221*K221</f>
        <v>600000</v>
      </c>
    </row>
    <row r="222" spans="1:24" ht="19.5" customHeight="1">
      <c r="A222" s="54"/>
      <c r="B222" s="63"/>
      <c r="C222" s="798"/>
      <c r="D222" s="1145"/>
      <c r="E222" s="69"/>
      <c r="F222" s="69"/>
      <c r="G222" s="318"/>
      <c r="H222" s="883" t="s">
        <v>744</v>
      </c>
      <c r="I222" s="944">
        <v>30000</v>
      </c>
      <c r="J222" s="106" t="s">
        <v>603</v>
      </c>
      <c r="K222" s="1163">
        <v>30</v>
      </c>
      <c r="L222" s="1163"/>
      <c r="M222" s="106" t="s">
        <v>605</v>
      </c>
      <c r="N222" s="106"/>
      <c r="O222" s="106"/>
      <c r="P222" s="106"/>
      <c r="Q222" s="106"/>
      <c r="R222" s="106"/>
      <c r="S222" s="106"/>
      <c r="T222" s="106"/>
      <c r="U222" s="106"/>
      <c r="V222" s="106"/>
      <c r="W222" s="195"/>
      <c r="X222" s="103">
        <f>I222*K222</f>
        <v>900000</v>
      </c>
    </row>
    <row r="223" spans="1:24" ht="19.5" customHeight="1" thickBot="1">
      <c r="A223" s="54"/>
      <c r="B223" s="63"/>
      <c r="C223" s="798"/>
      <c r="D223" s="1142"/>
      <c r="E223" s="73"/>
      <c r="F223" s="73"/>
      <c r="G223" s="320"/>
      <c r="H223" s="953" t="s">
        <v>745</v>
      </c>
      <c r="I223" s="949"/>
      <c r="J223" s="482" t="s">
        <v>603</v>
      </c>
      <c r="K223" s="1172">
        <v>1</v>
      </c>
      <c r="L223" s="1172"/>
      <c r="M223" s="482" t="s">
        <v>605</v>
      </c>
      <c r="N223" s="482"/>
      <c r="O223" s="482"/>
      <c r="P223" s="482"/>
      <c r="Q223" s="482"/>
      <c r="R223" s="482"/>
      <c r="S223" s="482"/>
      <c r="T223" s="482"/>
      <c r="U223" s="482"/>
      <c r="V223" s="482"/>
      <c r="W223" s="876"/>
      <c r="X223" s="102">
        <f>I223*K223</f>
        <v>0</v>
      </c>
    </row>
    <row r="224" spans="1:24" ht="19.5" customHeight="1">
      <c r="A224" s="1167" t="s">
        <v>598</v>
      </c>
      <c r="B224" s="1157" t="s">
        <v>599</v>
      </c>
      <c r="C224" s="1055" t="str">
        <f>C193</f>
        <v>332.사회심리재활사업비</v>
      </c>
      <c r="D224" s="1151" t="s">
        <v>538</v>
      </c>
      <c r="E224" s="205">
        <v>3000</v>
      </c>
      <c r="F224" s="205">
        <v>3400</v>
      </c>
      <c r="G224" s="324">
        <f>F224-E224</f>
        <v>400</v>
      </c>
      <c r="H224" s="954" t="s">
        <v>746</v>
      </c>
      <c r="I224" s="955">
        <v>80000</v>
      </c>
      <c r="J224" s="956" t="s">
        <v>603</v>
      </c>
      <c r="K224" s="1169">
        <v>30</v>
      </c>
      <c r="L224" s="1169"/>
      <c r="M224" s="956" t="s">
        <v>604</v>
      </c>
      <c r="N224" s="956" t="s">
        <v>258</v>
      </c>
      <c r="O224" s="956">
        <v>1</v>
      </c>
      <c r="P224" s="956" t="s">
        <v>605</v>
      </c>
      <c r="Q224" s="956"/>
      <c r="R224" s="956"/>
      <c r="S224" s="956"/>
      <c r="T224" s="956"/>
      <c r="U224" s="956" t="s">
        <v>615</v>
      </c>
      <c r="V224" s="956"/>
      <c r="W224" s="957"/>
      <c r="X224" s="868">
        <f>I224*K224*O224</f>
        <v>2400000</v>
      </c>
    </row>
    <row r="225" spans="1:24" ht="19.5" customHeight="1">
      <c r="A225" s="1168"/>
      <c r="B225" s="1149"/>
      <c r="C225" s="1052"/>
      <c r="D225" s="1145"/>
      <c r="E225" s="73"/>
      <c r="F225" s="73"/>
      <c r="G225" s="320"/>
      <c r="H225" s="542" t="s">
        <v>747</v>
      </c>
      <c r="I225" s="949">
        <v>1000000</v>
      </c>
      <c r="J225" s="482" t="s">
        <v>603</v>
      </c>
      <c r="K225" s="1170">
        <v>1</v>
      </c>
      <c r="L225" s="1170"/>
      <c r="M225" s="482" t="s">
        <v>605</v>
      </c>
      <c r="N225" s="482"/>
      <c r="O225" s="482"/>
      <c r="P225" s="482"/>
      <c r="Q225" s="482"/>
      <c r="R225" s="482"/>
      <c r="S225" s="482"/>
      <c r="T225" s="482"/>
      <c r="U225" s="482" t="s">
        <v>615</v>
      </c>
      <c r="V225" s="482"/>
      <c r="W225" s="876"/>
      <c r="X225" s="102">
        <f>I225*K225</f>
        <v>1000000</v>
      </c>
    </row>
    <row r="226" spans="1:24" ht="19.5" customHeight="1">
      <c r="A226" s="54"/>
      <c r="B226" s="63"/>
      <c r="C226" s="133"/>
      <c r="D226" s="1173" t="s">
        <v>577</v>
      </c>
      <c r="E226" s="69">
        <v>240</v>
      </c>
      <c r="F226" s="69">
        <v>1260</v>
      </c>
      <c r="G226" s="318">
        <f>F226-E226</f>
        <v>1020</v>
      </c>
      <c r="H226" s="431" t="s">
        <v>748</v>
      </c>
      <c r="I226" s="944">
        <v>2975</v>
      </c>
      <c r="J226" s="106" t="s">
        <v>603</v>
      </c>
      <c r="K226" s="1163">
        <v>4</v>
      </c>
      <c r="L226" s="1163"/>
      <c r="M226" s="106" t="s">
        <v>604</v>
      </c>
      <c r="N226" s="106" t="s">
        <v>258</v>
      </c>
      <c r="O226" s="106">
        <v>5</v>
      </c>
      <c r="P226" s="106" t="s">
        <v>605</v>
      </c>
      <c r="Q226" s="106"/>
      <c r="R226" s="106"/>
      <c r="S226" s="106"/>
      <c r="T226" s="106"/>
      <c r="U226" s="106" t="s">
        <v>615</v>
      </c>
      <c r="V226" s="106"/>
      <c r="W226" s="195"/>
      <c r="X226" s="103">
        <f>I226*K226*O226</f>
        <v>59500</v>
      </c>
    </row>
    <row r="227" spans="1:24" ht="19.5" customHeight="1">
      <c r="A227" s="54"/>
      <c r="B227" s="63"/>
      <c r="C227" s="133"/>
      <c r="D227" s="1173"/>
      <c r="E227" s="73"/>
      <c r="F227" s="73"/>
      <c r="G227" s="320"/>
      <c r="H227" s="431" t="s">
        <v>749</v>
      </c>
      <c r="I227" s="944">
        <v>100000</v>
      </c>
      <c r="J227" s="482" t="s">
        <v>603</v>
      </c>
      <c r="K227" s="1170">
        <v>12</v>
      </c>
      <c r="L227" s="1170"/>
      <c r="M227" s="482" t="s">
        <v>605</v>
      </c>
      <c r="N227" s="482"/>
      <c r="O227" s="482"/>
      <c r="P227" s="482"/>
      <c r="Q227" s="482"/>
      <c r="R227" s="482"/>
      <c r="S227" s="482"/>
      <c r="T227" s="482"/>
      <c r="U227" s="482" t="s">
        <v>615</v>
      </c>
      <c r="V227" s="482"/>
      <c r="W227" s="195"/>
      <c r="X227" s="103">
        <f>I227*K227</f>
        <v>1200000</v>
      </c>
    </row>
    <row r="228" spans="1:24" ht="19.5" customHeight="1">
      <c r="A228" s="54"/>
      <c r="B228" s="63"/>
      <c r="C228" s="133"/>
      <c r="D228" s="1173" t="s">
        <v>578</v>
      </c>
      <c r="E228" s="69">
        <v>280</v>
      </c>
      <c r="F228" s="69">
        <v>1289</v>
      </c>
      <c r="G228" s="318">
        <f>F228-E228</f>
        <v>1009</v>
      </c>
      <c r="H228" s="844" t="s">
        <v>750</v>
      </c>
      <c r="I228" s="942">
        <v>89400</v>
      </c>
      <c r="J228" s="539" t="s">
        <v>603</v>
      </c>
      <c r="K228" s="1171">
        <v>1</v>
      </c>
      <c r="L228" s="1171"/>
      <c r="M228" s="539" t="s">
        <v>605</v>
      </c>
      <c r="N228" s="539"/>
      <c r="O228" s="539"/>
      <c r="P228" s="539"/>
      <c r="Q228" s="539"/>
      <c r="R228" s="539"/>
      <c r="S228" s="539"/>
      <c r="T228" s="539"/>
      <c r="U228" s="539" t="s">
        <v>615</v>
      </c>
      <c r="V228" s="539"/>
      <c r="W228" s="869"/>
      <c r="X228" s="486">
        <v>89400</v>
      </c>
    </row>
    <row r="229" spans="1:24" ht="19.5" customHeight="1">
      <c r="A229" s="54"/>
      <c r="B229" s="63"/>
      <c r="C229" s="133"/>
      <c r="D229" s="1173"/>
      <c r="E229" s="73"/>
      <c r="F229" s="73"/>
      <c r="G229" s="320"/>
      <c r="H229" s="953" t="s">
        <v>751</v>
      </c>
      <c r="I229" s="944">
        <v>100000</v>
      </c>
      <c r="J229" s="482" t="s">
        <v>603</v>
      </c>
      <c r="K229" s="1170">
        <v>12</v>
      </c>
      <c r="L229" s="1170"/>
      <c r="M229" s="482" t="s">
        <v>605</v>
      </c>
      <c r="N229" s="482"/>
      <c r="O229" s="482"/>
      <c r="P229" s="482"/>
      <c r="Q229" s="482"/>
      <c r="R229" s="482"/>
      <c r="S229" s="482"/>
      <c r="T229" s="482"/>
      <c r="U229" s="482" t="s">
        <v>615</v>
      </c>
      <c r="V229" s="482"/>
      <c r="W229" s="195"/>
      <c r="X229" s="103">
        <f>I229*K229</f>
        <v>1200000</v>
      </c>
    </row>
    <row r="230" spans="1:24" ht="19.5" customHeight="1">
      <c r="A230" s="54"/>
      <c r="B230" s="63"/>
      <c r="C230" s="133"/>
      <c r="D230" s="1173" t="s">
        <v>579</v>
      </c>
      <c r="E230" s="69">
        <v>200</v>
      </c>
      <c r="F230" s="69">
        <v>1012</v>
      </c>
      <c r="G230" s="318">
        <f>F230-E230</f>
        <v>812</v>
      </c>
      <c r="H230" s="431" t="s">
        <v>752</v>
      </c>
      <c r="I230" s="942">
        <v>122400</v>
      </c>
      <c r="J230" s="106" t="s">
        <v>603</v>
      </c>
      <c r="K230" s="1163">
        <v>1</v>
      </c>
      <c r="L230" s="1163"/>
      <c r="M230" s="106" t="s">
        <v>605</v>
      </c>
      <c r="N230" s="106"/>
      <c r="O230" s="106"/>
      <c r="P230" s="106"/>
      <c r="Q230" s="106"/>
      <c r="R230" s="106"/>
      <c r="S230" s="106"/>
      <c r="T230" s="106"/>
      <c r="U230" s="106" t="s">
        <v>615</v>
      </c>
      <c r="V230" s="106"/>
      <c r="W230" s="869"/>
      <c r="X230" s="486">
        <v>112400</v>
      </c>
    </row>
    <row r="231" spans="1:24" ht="19.5" customHeight="1">
      <c r="A231" s="54"/>
      <c r="B231" s="63"/>
      <c r="C231" s="133"/>
      <c r="D231" s="1173"/>
      <c r="E231" s="73"/>
      <c r="F231" s="73"/>
      <c r="G231" s="320"/>
      <c r="H231" s="431" t="s">
        <v>753</v>
      </c>
      <c r="I231" s="944">
        <v>90000</v>
      </c>
      <c r="J231" s="106" t="s">
        <v>603</v>
      </c>
      <c r="K231" s="1163">
        <v>10</v>
      </c>
      <c r="L231" s="1163"/>
      <c r="M231" s="106" t="s">
        <v>605</v>
      </c>
      <c r="N231" s="106"/>
      <c r="O231" s="106"/>
      <c r="P231" s="106"/>
      <c r="Q231" s="106"/>
      <c r="R231" s="106"/>
      <c r="S231" s="106"/>
      <c r="T231" s="106"/>
      <c r="U231" s="106" t="s">
        <v>615</v>
      </c>
      <c r="V231" s="106"/>
      <c r="W231" s="195"/>
      <c r="X231" s="103">
        <f>I231*K231</f>
        <v>900000</v>
      </c>
    </row>
    <row r="232" spans="1:24" ht="19.5" customHeight="1">
      <c r="A232" s="54"/>
      <c r="B232" s="63"/>
      <c r="C232" s="133"/>
      <c r="D232" s="1173" t="s">
        <v>580</v>
      </c>
      <c r="E232" s="69">
        <v>800</v>
      </c>
      <c r="F232" s="69">
        <v>1687</v>
      </c>
      <c r="G232" s="318">
        <f>F232-E232</f>
        <v>887</v>
      </c>
      <c r="H232" s="844" t="s">
        <v>754</v>
      </c>
      <c r="I232" s="942">
        <v>486500</v>
      </c>
      <c r="J232" s="539" t="s">
        <v>603</v>
      </c>
      <c r="K232" s="1171">
        <v>1</v>
      </c>
      <c r="L232" s="1171"/>
      <c r="M232" s="539" t="s">
        <v>605</v>
      </c>
      <c r="N232" s="539"/>
      <c r="O232" s="539"/>
      <c r="P232" s="539"/>
      <c r="Q232" s="539"/>
      <c r="R232" s="539"/>
      <c r="S232" s="539"/>
      <c r="T232" s="539"/>
      <c r="U232" s="539" t="s">
        <v>615</v>
      </c>
      <c r="V232" s="539"/>
      <c r="W232" s="869"/>
      <c r="X232" s="486">
        <v>486500</v>
      </c>
    </row>
    <row r="233" spans="1:24" ht="19.5" customHeight="1">
      <c r="A233" s="54"/>
      <c r="B233" s="63"/>
      <c r="C233" s="133"/>
      <c r="D233" s="1173"/>
      <c r="E233" s="73"/>
      <c r="F233" s="73"/>
      <c r="G233" s="320"/>
      <c r="H233" s="953" t="s">
        <v>751</v>
      </c>
      <c r="I233" s="944">
        <v>100000</v>
      </c>
      <c r="J233" s="482" t="s">
        <v>603</v>
      </c>
      <c r="K233" s="1170">
        <v>12</v>
      </c>
      <c r="L233" s="1170"/>
      <c r="M233" s="482" t="s">
        <v>605</v>
      </c>
      <c r="N233" s="482"/>
      <c r="O233" s="482"/>
      <c r="P233" s="482"/>
      <c r="Q233" s="482"/>
      <c r="R233" s="482"/>
      <c r="S233" s="482"/>
      <c r="T233" s="482"/>
      <c r="U233" s="482" t="s">
        <v>615</v>
      </c>
      <c r="V233" s="482"/>
      <c r="W233" s="195"/>
      <c r="X233" s="103">
        <f>I233*K233</f>
        <v>1200000</v>
      </c>
    </row>
    <row r="234" spans="1:24" ht="19.5" customHeight="1">
      <c r="A234" s="54"/>
      <c r="B234" s="63"/>
      <c r="C234" s="133"/>
      <c r="D234" s="1173" t="s">
        <v>586</v>
      </c>
      <c r="E234" s="69">
        <v>160</v>
      </c>
      <c r="F234" s="69">
        <v>83</v>
      </c>
      <c r="G234" s="318">
        <f>F234-E234</f>
        <v>-77</v>
      </c>
      <c r="H234" s="844" t="s">
        <v>755</v>
      </c>
      <c r="I234" s="942">
        <v>82740</v>
      </c>
      <c r="J234" s="539" t="s">
        <v>603</v>
      </c>
      <c r="K234" s="1171">
        <v>1</v>
      </c>
      <c r="L234" s="1171"/>
      <c r="M234" s="539" t="s">
        <v>605</v>
      </c>
      <c r="N234" s="539"/>
      <c r="O234" s="539"/>
      <c r="P234" s="539"/>
      <c r="Q234" s="539"/>
      <c r="R234" s="539"/>
      <c r="S234" s="539"/>
      <c r="T234" s="539"/>
      <c r="U234" s="539" t="s">
        <v>615</v>
      </c>
      <c r="V234" s="539"/>
      <c r="W234" s="869"/>
      <c r="X234" s="486">
        <v>82740</v>
      </c>
    </row>
    <row r="235" spans="1:24" ht="19.5" customHeight="1">
      <c r="A235" s="54"/>
      <c r="B235" s="63"/>
      <c r="C235" s="133"/>
      <c r="D235" s="1173"/>
      <c r="E235" s="73"/>
      <c r="F235" s="73"/>
      <c r="G235" s="320"/>
      <c r="H235" s="284"/>
      <c r="I235" s="479"/>
      <c r="J235" s="814"/>
      <c r="K235" s="1164"/>
      <c r="L235" s="1164"/>
      <c r="M235" s="482"/>
      <c r="N235" s="814"/>
      <c r="O235" s="814"/>
      <c r="P235" s="814"/>
      <c r="Q235" s="814"/>
      <c r="R235" s="814"/>
      <c r="S235" s="814"/>
      <c r="T235" s="814"/>
      <c r="U235" s="814"/>
      <c r="V235" s="814"/>
      <c r="W235" s="522"/>
      <c r="X235" s="96"/>
    </row>
    <row r="236" spans="1:24" ht="19.5" customHeight="1">
      <c r="A236" s="54"/>
      <c r="B236" s="63"/>
      <c r="C236" s="133"/>
      <c r="D236" s="1173" t="s">
        <v>581</v>
      </c>
      <c r="E236" s="69">
        <v>550</v>
      </c>
      <c r="F236" s="69">
        <v>440</v>
      </c>
      <c r="G236" s="318">
        <f>F236-E236</f>
        <v>-110</v>
      </c>
      <c r="H236" s="431" t="s">
        <v>756</v>
      </c>
      <c r="I236" s="944">
        <v>30000</v>
      </c>
      <c r="J236" s="106" t="s">
        <v>603</v>
      </c>
      <c r="K236" s="1163">
        <v>4</v>
      </c>
      <c r="L236" s="1163"/>
      <c r="M236" s="106" t="s">
        <v>757</v>
      </c>
      <c r="N236" s="106"/>
      <c r="O236" s="106"/>
      <c r="P236" s="106"/>
      <c r="Q236" s="106"/>
      <c r="R236" s="106"/>
      <c r="S236" s="106"/>
      <c r="T236" s="106"/>
      <c r="U236" s="106" t="s">
        <v>615</v>
      </c>
      <c r="V236" s="106"/>
      <c r="W236" s="195"/>
      <c r="X236" s="103">
        <v>140000</v>
      </c>
    </row>
    <row r="237" spans="1:24" ht="19.5" customHeight="1">
      <c r="A237" s="54"/>
      <c r="B237" s="63"/>
      <c r="C237" s="133"/>
      <c r="D237" s="1173"/>
      <c r="E237" s="69"/>
      <c r="F237" s="69"/>
      <c r="G237" s="318"/>
      <c r="H237" s="431" t="s">
        <v>758</v>
      </c>
      <c r="I237" s="944"/>
      <c r="J237" s="106"/>
      <c r="K237" s="1163"/>
      <c r="L237" s="1163"/>
      <c r="M237" s="106"/>
      <c r="N237" s="106"/>
      <c r="O237" s="106"/>
      <c r="P237" s="106"/>
      <c r="Q237" s="106"/>
      <c r="R237" s="106"/>
      <c r="S237" s="106"/>
      <c r="T237" s="106"/>
      <c r="U237" s="106" t="s">
        <v>615</v>
      </c>
      <c r="V237" s="106"/>
      <c r="W237" s="195"/>
      <c r="X237" s="103"/>
    </row>
    <row r="238" spans="1:24" ht="19.5" customHeight="1">
      <c r="A238" s="54"/>
      <c r="B238" s="63"/>
      <c r="C238" s="133"/>
      <c r="D238" s="1173"/>
      <c r="E238" s="73"/>
      <c r="F238" s="73"/>
      <c r="G238" s="320"/>
      <c r="H238" s="431" t="s">
        <v>759</v>
      </c>
      <c r="I238" s="944">
        <v>30000</v>
      </c>
      <c r="J238" s="106" t="s">
        <v>603</v>
      </c>
      <c r="K238" s="1163">
        <v>10</v>
      </c>
      <c r="L238" s="1163"/>
      <c r="M238" s="106" t="s">
        <v>757</v>
      </c>
      <c r="N238" s="106"/>
      <c r="O238" s="106"/>
      <c r="P238" s="106"/>
      <c r="Q238" s="106"/>
      <c r="R238" s="106"/>
      <c r="S238" s="106"/>
      <c r="T238" s="106"/>
      <c r="U238" s="106" t="s">
        <v>615</v>
      </c>
      <c r="V238" s="106"/>
      <c r="W238" s="195"/>
      <c r="X238" s="103">
        <f>I238*K238</f>
        <v>300000</v>
      </c>
    </row>
    <row r="239" spans="1:24" ht="19.5" customHeight="1">
      <c r="A239" s="54"/>
      <c r="B239" s="63"/>
      <c r="C239" s="133"/>
      <c r="D239" s="1173" t="s">
        <v>587</v>
      </c>
      <c r="E239" s="69">
        <v>480</v>
      </c>
      <c r="F239" s="69">
        <v>480</v>
      </c>
      <c r="G239" s="318">
        <f>F239-E239</f>
        <v>0</v>
      </c>
      <c r="H239" s="844" t="s">
        <v>760</v>
      </c>
      <c r="I239" s="942">
        <v>20000</v>
      </c>
      <c r="J239" s="539" t="s">
        <v>603</v>
      </c>
      <c r="K239" s="1171">
        <v>24</v>
      </c>
      <c r="L239" s="1171"/>
      <c r="M239" s="539" t="s">
        <v>605</v>
      </c>
      <c r="N239" s="539"/>
      <c r="O239" s="539"/>
      <c r="P239" s="539"/>
      <c r="Q239" s="539"/>
      <c r="R239" s="539"/>
      <c r="S239" s="539"/>
      <c r="T239" s="539"/>
      <c r="U239" s="539" t="s">
        <v>615</v>
      </c>
      <c r="V239" s="539"/>
      <c r="W239" s="869"/>
      <c r="X239" s="486">
        <v>480000</v>
      </c>
    </row>
    <row r="240" spans="1:24" ht="19.5" customHeight="1">
      <c r="A240" s="54"/>
      <c r="B240" s="63"/>
      <c r="C240" s="133"/>
      <c r="D240" s="1173"/>
      <c r="E240" s="73"/>
      <c r="F240" s="73"/>
      <c r="G240" s="320"/>
      <c r="H240" s="953"/>
      <c r="I240" s="949"/>
      <c r="J240" s="482"/>
      <c r="K240" s="1172"/>
      <c r="L240" s="1172"/>
      <c r="M240" s="482"/>
      <c r="N240" s="482"/>
      <c r="O240" s="482"/>
      <c r="P240" s="482"/>
      <c r="Q240" s="482"/>
      <c r="R240" s="482"/>
      <c r="S240" s="482"/>
      <c r="T240" s="482"/>
      <c r="U240" s="482"/>
      <c r="V240" s="482"/>
      <c r="W240" s="876"/>
      <c r="X240" s="102"/>
    </row>
    <row r="241" spans="1:24" ht="19.5" customHeight="1">
      <c r="A241" s="54"/>
      <c r="B241" s="63"/>
      <c r="C241" s="133"/>
      <c r="D241" s="1173" t="s">
        <v>588</v>
      </c>
      <c r="E241" s="69">
        <v>2000</v>
      </c>
      <c r="F241" s="69">
        <v>1631</v>
      </c>
      <c r="G241" s="318">
        <f>F241-E241</f>
        <v>-369</v>
      </c>
      <c r="H241" s="431" t="s">
        <v>761</v>
      </c>
      <c r="I241" s="944">
        <v>655715</v>
      </c>
      <c r="J241" s="106" t="s">
        <v>603</v>
      </c>
      <c r="K241" s="1163">
        <v>2</v>
      </c>
      <c r="L241" s="1163"/>
      <c r="M241" s="106" t="s">
        <v>762</v>
      </c>
      <c r="N241" s="106"/>
      <c r="O241" s="106"/>
      <c r="P241" s="106"/>
      <c r="Q241" s="106"/>
      <c r="R241" s="106"/>
      <c r="S241" s="106"/>
      <c r="T241" s="106"/>
      <c r="U241" s="106" t="s">
        <v>615</v>
      </c>
      <c r="V241" s="106"/>
      <c r="W241" s="195"/>
      <c r="X241" s="103">
        <f>I241*K241</f>
        <v>1311430</v>
      </c>
    </row>
    <row r="242" spans="1:24" ht="19.5" customHeight="1">
      <c r="A242" s="54"/>
      <c r="B242" s="63"/>
      <c r="C242" s="133"/>
      <c r="D242" s="1173"/>
      <c r="E242" s="73"/>
      <c r="F242" s="73"/>
      <c r="G242" s="320"/>
      <c r="H242" s="431" t="s">
        <v>763</v>
      </c>
      <c r="I242" s="944">
        <v>160000</v>
      </c>
      <c r="J242" s="482" t="s">
        <v>603</v>
      </c>
      <c r="K242" s="1172">
        <v>2</v>
      </c>
      <c r="L242" s="1172"/>
      <c r="M242" s="482" t="s">
        <v>605</v>
      </c>
      <c r="N242" s="482"/>
      <c r="O242" s="482"/>
      <c r="P242" s="482"/>
      <c r="Q242" s="482"/>
      <c r="R242" s="482"/>
      <c r="S242" s="482"/>
      <c r="T242" s="482"/>
      <c r="U242" s="482" t="s">
        <v>615</v>
      </c>
      <c r="V242" s="106"/>
      <c r="W242" s="195"/>
      <c r="X242" s="103">
        <f>I242*K242</f>
        <v>320000</v>
      </c>
    </row>
    <row r="243" spans="1:24" ht="19.5" customHeight="1">
      <c r="A243" s="54"/>
      <c r="B243" s="63"/>
      <c r="C243" s="133"/>
      <c r="D243" s="1173" t="s">
        <v>589</v>
      </c>
      <c r="E243" s="69">
        <v>2448</v>
      </c>
      <c r="F243" s="69">
        <v>601</v>
      </c>
      <c r="G243" s="318">
        <f>F243-E243</f>
        <v>-1847</v>
      </c>
      <c r="H243" s="844" t="s">
        <v>764</v>
      </c>
      <c r="I243" s="942">
        <v>11376</v>
      </c>
      <c r="J243" s="539" t="s">
        <v>603</v>
      </c>
      <c r="K243" s="1171">
        <v>30</v>
      </c>
      <c r="L243" s="1171"/>
      <c r="M243" s="539" t="s">
        <v>604</v>
      </c>
      <c r="N243" s="539" t="s">
        <v>603</v>
      </c>
      <c r="O243" s="539">
        <v>1</v>
      </c>
      <c r="P243" s="539" t="s">
        <v>605</v>
      </c>
      <c r="Q243" s="539"/>
      <c r="R243" s="539"/>
      <c r="S243" s="539"/>
      <c r="T243" s="539"/>
      <c r="U243" s="539" t="s">
        <v>615</v>
      </c>
      <c r="V243" s="539"/>
      <c r="W243" s="869"/>
      <c r="X243" s="486">
        <v>341280</v>
      </c>
    </row>
    <row r="244" spans="1:24" ht="19.5" customHeight="1">
      <c r="A244" s="54"/>
      <c r="B244" s="63"/>
      <c r="C244" s="133"/>
      <c r="D244" s="1173"/>
      <c r="E244" s="73"/>
      <c r="F244" s="73"/>
      <c r="G244" s="320"/>
      <c r="H244" s="953" t="s">
        <v>765</v>
      </c>
      <c r="I244" s="949">
        <v>10000</v>
      </c>
      <c r="J244" s="482" t="s">
        <v>603</v>
      </c>
      <c r="K244" s="1172">
        <v>13</v>
      </c>
      <c r="L244" s="1172"/>
      <c r="M244" s="482" t="s">
        <v>604</v>
      </c>
      <c r="N244" s="482" t="s">
        <v>603</v>
      </c>
      <c r="O244" s="482">
        <v>2</v>
      </c>
      <c r="P244" s="482" t="s">
        <v>605</v>
      </c>
      <c r="Q244" s="482"/>
      <c r="R244" s="482"/>
      <c r="S244" s="482"/>
      <c r="T244" s="482"/>
      <c r="U244" s="482" t="s">
        <v>615</v>
      </c>
      <c r="V244" s="482"/>
      <c r="W244" s="876"/>
      <c r="X244" s="102">
        <f>I244*K244*O244</f>
        <v>260000</v>
      </c>
    </row>
    <row r="245" spans="1:24" ht="19.5" customHeight="1">
      <c r="A245" s="54"/>
      <c r="B245" s="63"/>
      <c r="C245" s="133"/>
      <c r="D245" s="1173" t="s">
        <v>590</v>
      </c>
      <c r="E245" s="69">
        <v>896</v>
      </c>
      <c r="F245" s="69"/>
      <c r="G245" s="318">
        <f>F245-E245</f>
        <v>-896</v>
      </c>
      <c r="H245" s="431" t="s">
        <v>766</v>
      </c>
      <c r="I245" s="944">
        <v>1500</v>
      </c>
      <c r="J245" s="106" t="s">
        <v>603</v>
      </c>
      <c r="K245" s="1163"/>
      <c r="L245" s="1163"/>
      <c r="M245" s="106" t="s">
        <v>604</v>
      </c>
      <c r="N245" s="106" t="s">
        <v>603</v>
      </c>
      <c r="O245" s="106"/>
      <c r="P245" s="106" t="s">
        <v>605</v>
      </c>
      <c r="Q245" s="106"/>
      <c r="R245" s="106"/>
      <c r="S245" s="106"/>
      <c r="T245" s="106"/>
      <c r="U245" s="106" t="s">
        <v>615</v>
      </c>
      <c r="V245" s="106"/>
      <c r="W245" s="195"/>
      <c r="X245" s="103">
        <f>I245*K245*O245</f>
        <v>0</v>
      </c>
    </row>
    <row r="246" spans="1:24" ht="19.5" customHeight="1">
      <c r="A246" s="54"/>
      <c r="B246" s="63"/>
      <c r="C246" s="133"/>
      <c r="D246" s="1173"/>
      <c r="E246" s="73"/>
      <c r="F246" s="73"/>
      <c r="G246" s="320"/>
      <c r="H246" s="542" t="s">
        <v>767</v>
      </c>
      <c r="I246" s="944">
        <v>40000</v>
      </c>
      <c r="J246" s="106" t="s">
        <v>603</v>
      </c>
      <c r="K246" s="1163"/>
      <c r="L246" s="1163"/>
      <c r="M246" s="106" t="s">
        <v>604</v>
      </c>
      <c r="N246" s="482"/>
      <c r="O246" s="482"/>
      <c r="P246" s="482"/>
      <c r="Q246" s="106"/>
      <c r="R246" s="106"/>
      <c r="S246" s="106"/>
      <c r="T246" s="106"/>
      <c r="U246" s="106" t="s">
        <v>615</v>
      </c>
      <c r="V246" s="106"/>
      <c r="W246" s="195"/>
      <c r="X246" s="103">
        <f>I246*K246</f>
        <v>0</v>
      </c>
    </row>
    <row r="247" spans="1:24" ht="18.75" customHeight="1">
      <c r="A247" s="483"/>
      <c r="B247" s="484"/>
      <c r="C247" s="1051" t="s">
        <v>539</v>
      </c>
      <c r="D247" s="1003"/>
      <c r="E247" s="476">
        <v>1170</v>
      </c>
      <c r="F247" s="476">
        <v>1251</v>
      </c>
      <c r="G247" s="313">
        <f>F247-E247</f>
        <v>81</v>
      </c>
      <c r="H247" s="59"/>
      <c r="I247" s="485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59"/>
      <c r="X247" s="98"/>
    </row>
    <row r="248" spans="1:24" ht="18.75" customHeight="1">
      <c r="A248" s="483"/>
      <c r="B248" s="525"/>
      <c r="C248" s="1052"/>
      <c r="D248" s="1173" t="s">
        <v>282</v>
      </c>
      <c r="E248" s="69"/>
      <c r="F248" s="69">
        <v>156</v>
      </c>
      <c r="G248" s="318">
        <f>F248-E248</f>
        <v>156</v>
      </c>
      <c r="H248" s="464" t="s">
        <v>768</v>
      </c>
      <c r="I248" s="942"/>
      <c r="J248" s="539"/>
      <c r="K248" s="958"/>
      <c r="L248" s="958"/>
      <c r="M248" s="539"/>
      <c r="N248" s="539"/>
      <c r="O248" s="539"/>
      <c r="P248" s="539"/>
      <c r="Q248" s="539"/>
      <c r="R248" s="539"/>
      <c r="S248" s="539"/>
      <c r="T248" s="539"/>
      <c r="U248" s="539" t="s">
        <v>615</v>
      </c>
      <c r="V248" s="539"/>
      <c r="W248" s="869"/>
      <c r="X248" s="486"/>
    </row>
    <row r="249" spans="1:24" ht="18.75" customHeight="1">
      <c r="A249" s="483"/>
      <c r="B249" s="525"/>
      <c r="C249" s="1052"/>
      <c r="D249" s="1173"/>
      <c r="E249" s="73"/>
      <c r="F249" s="73"/>
      <c r="G249" s="318"/>
      <c r="H249" s="542" t="s">
        <v>769</v>
      </c>
      <c r="I249" s="949"/>
      <c r="J249" s="482"/>
      <c r="K249" s="959"/>
      <c r="L249" s="959"/>
      <c r="M249" s="482"/>
      <c r="N249" s="482"/>
      <c r="O249" s="482"/>
      <c r="P249" s="482"/>
      <c r="Q249" s="482"/>
      <c r="R249" s="482"/>
      <c r="S249" s="482"/>
      <c r="T249" s="482"/>
      <c r="U249" s="482"/>
      <c r="V249" s="482"/>
      <c r="W249" s="876"/>
      <c r="X249" s="102">
        <v>155763</v>
      </c>
    </row>
    <row r="250" spans="1:24" ht="18.75" customHeight="1">
      <c r="A250" s="483"/>
      <c r="B250" s="525"/>
      <c r="C250" s="787"/>
      <c r="D250" s="1173" t="s">
        <v>540</v>
      </c>
      <c r="E250" s="68"/>
      <c r="F250" s="68"/>
      <c r="G250" s="317">
        <f>F250-E250</f>
        <v>0</v>
      </c>
      <c r="H250" s="464"/>
      <c r="I250" s="942"/>
      <c r="J250" s="539"/>
      <c r="K250" s="958"/>
      <c r="L250" s="958"/>
      <c r="M250" s="539"/>
      <c r="N250" s="539"/>
      <c r="O250" s="539"/>
      <c r="P250" s="539"/>
      <c r="Q250" s="539"/>
      <c r="R250" s="539"/>
      <c r="S250" s="539"/>
      <c r="T250" s="539"/>
      <c r="U250" s="539"/>
      <c r="V250" s="539"/>
      <c r="W250" s="869"/>
      <c r="X250" s="486"/>
    </row>
    <row r="251" spans="1:24" ht="18.75" customHeight="1">
      <c r="A251" s="483"/>
      <c r="B251" s="525"/>
      <c r="C251" s="787"/>
      <c r="D251" s="1173"/>
      <c r="E251" s="73"/>
      <c r="F251" s="73"/>
      <c r="G251" s="320"/>
      <c r="H251" s="542"/>
      <c r="I251" s="949"/>
      <c r="J251" s="482"/>
      <c r="K251" s="959"/>
      <c r="L251" s="959"/>
      <c r="M251" s="482"/>
      <c r="N251" s="482"/>
      <c r="O251" s="482"/>
      <c r="P251" s="482"/>
      <c r="Q251" s="482"/>
      <c r="R251" s="482"/>
      <c r="S251" s="482"/>
      <c r="T251" s="482"/>
      <c r="U251" s="482"/>
      <c r="V251" s="482"/>
      <c r="W251" s="876"/>
      <c r="X251" s="102"/>
    </row>
    <row r="252" spans="1:24" ht="18.75" customHeight="1">
      <c r="A252" s="483"/>
      <c r="B252" s="525"/>
      <c r="C252" s="787"/>
      <c r="D252" s="1173" t="s">
        <v>582</v>
      </c>
      <c r="E252" s="68">
        <v>100</v>
      </c>
      <c r="F252" s="68">
        <v>100</v>
      </c>
      <c r="G252" s="317">
        <f>F252-E252</f>
        <v>0</v>
      </c>
      <c r="H252" s="464" t="s">
        <v>770</v>
      </c>
      <c r="I252" s="942">
        <v>100000</v>
      </c>
      <c r="J252" s="539" t="s">
        <v>603</v>
      </c>
      <c r="K252" s="958">
        <v>1</v>
      </c>
      <c r="L252" s="958" t="s">
        <v>605</v>
      </c>
      <c r="M252" s="539"/>
      <c r="N252" s="539"/>
      <c r="O252" s="539"/>
      <c r="P252" s="539"/>
      <c r="Q252" s="539"/>
      <c r="R252" s="539"/>
      <c r="S252" s="539"/>
      <c r="T252" s="539"/>
      <c r="U252" s="539" t="s">
        <v>615</v>
      </c>
      <c r="V252" s="539"/>
      <c r="W252" s="869"/>
      <c r="X252" s="486">
        <v>100000</v>
      </c>
    </row>
    <row r="253" spans="1:24" ht="18.75" customHeight="1">
      <c r="A253" s="483"/>
      <c r="B253" s="525"/>
      <c r="C253" s="787"/>
      <c r="D253" s="1173"/>
      <c r="E253" s="73"/>
      <c r="F253" s="73"/>
      <c r="G253" s="320"/>
      <c r="H253" s="542"/>
      <c r="I253" s="949"/>
      <c r="J253" s="482"/>
      <c r="K253" s="959"/>
      <c r="L253" s="959"/>
      <c r="M253" s="482"/>
      <c r="N253" s="482"/>
      <c r="O253" s="482"/>
      <c r="P253" s="482"/>
      <c r="Q253" s="482"/>
      <c r="R253" s="482"/>
      <c r="S253" s="482"/>
      <c r="T253" s="482"/>
      <c r="U253" s="482"/>
      <c r="V253" s="482"/>
      <c r="W253" s="876"/>
      <c r="X253" s="102"/>
    </row>
    <row r="254" spans="1:24" ht="18.75" customHeight="1">
      <c r="A254" s="483"/>
      <c r="B254" s="525"/>
      <c r="C254" s="787"/>
      <c r="D254" s="1173" t="s">
        <v>583</v>
      </c>
      <c r="E254" s="68">
        <v>570</v>
      </c>
      <c r="F254" s="68">
        <v>496</v>
      </c>
      <c r="G254" s="317">
        <f>F254-E254</f>
        <v>-74</v>
      </c>
      <c r="H254" s="464" t="s">
        <v>771</v>
      </c>
      <c r="I254" s="942">
        <v>255700</v>
      </c>
      <c r="J254" s="539" t="s">
        <v>603</v>
      </c>
      <c r="K254" s="958">
        <v>1</v>
      </c>
      <c r="L254" s="958" t="s">
        <v>605</v>
      </c>
      <c r="M254" s="539"/>
      <c r="N254" s="539"/>
      <c r="O254" s="539"/>
      <c r="P254" s="539"/>
      <c r="Q254" s="539"/>
      <c r="R254" s="539"/>
      <c r="S254" s="539"/>
      <c r="T254" s="539"/>
      <c r="U254" s="539" t="s">
        <v>615</v>
      </c>
      <c r="V254" s="539"/>
      <c r="W254" s="869"/>
      <c r="X254" s="486">
        <v>255700</v>
      </c>
    </row>
    <row r="255" spans="1:24" ht="18.75" customHeight="1">
      <c r="A255" s="483"/>
      <c r="B255" s="525"/>
      <c r="C255" s="787"/>
      <c r="D255" s="1173"/>
      <c r="E255" s="73"/>
      <c r="F255" s="73"/>
      <c r="G255" s="320"/>
      <c r="H255" s="542" t="s">
        <v>772</v>
      </c>
      <c r="I255" s="949">
        <v>20000</v>
      </c>
      <c r="J255" s="482" t="s">
        <v>603</v>
      </c>
      <c r="K255" s="959">
        <v>12</v>
      </c>
      <c r="L255" s="959" t="s">
        <v>614</v>
      </c>
      <c r="M255" s="482"/>
      <c r="N255" s="482"/>
      <c r="O255" s="482"/>
      <c r="P255" s="482"/>
      <c r="Q255" s="482"/>
      <c r="R255" s="482"/>
      <c r="S255" s="482"/>
      <c r="T255" s="482"/>
      <c r="U255" s="482" t="s">
        <v>615</v>
      </c>
      <c r="V255" s="482"/>
      <c r="W255" s="876"/>
      <c r="X255" s="102">
        <v>240000</v>
      </c>
    </row>
    <row r="256" spans="1:24" ht="18.75" customHeight="1">
      <c r="A256" s="483"/>
      <c r="B256" s="525"/>
      <c r="C256" s="787"/>
      <c r="D256" s="1173" t="s">
        <v>584</v>
      </c>
      <c r="E256" s="68">
        <v>500</v>
      </c>
      <c r="F256" s="68">
        <v>500</v>
      </c>
      <c r="G256" s="317">
        <f>F256-E256</f>
        <v>0</v>
      </c>
      <c r="H256" s="945" t="s">
        <v>773</v>
      </c>
      <c r="I256" s="942">
        <v>125000</v>
      </c>
      <c r="J256" s="539" t="s">
        <v>603</v>
      </c>
      <c r="K256" s="958">
        <v>4</v>
      </c>
      <c r="L256" s="958" t="s">
        <v>605</v>
      </c>
      <c r="M256" s="539"/>
      <c r="N256" s="539"/>
      <c r="O256" s="539"/>
      <c r="P256" s="539"/>
      <c r="Q256" s="539"/>
      <c r="R256" s="539"/>
      <c r="S256" s="539"/>
      <c r="T256" s="539"/>
      <c r="U256" s="539" t="s">
        <v>615</v>
      </c>
      <c r="V256" s="539"/>
      <c r="W256" s="869"/>
      <c r="X256" s="486">
        <v>500000</v>
      </c>
    </row>
    <row r="257" spans="1:24" ht="18.75" customHeight="1">
      <c r="A257" s="483"/>
      <c r="B257" s="525"/>
      <c r="C257" s="784"/>
      <c r="D257" s="1173"/>
      <c r="E257" s="73"/>
      <c r="F257" s="73"/>
      <c r="G257" s="320"/>
      <c r="H257" s="542"/>
      <c r="I257" s="479"/>
      <c r="J257" s="814"/>
      <c r="K257" s="810"/>
      <c r="L257" s="810"/>
      <c r="M257" s="814"/>
      <c r="N257" s="814"/>
      <c r="O257" s="814"/>
      <c r="P257" s="814"/>
      <c r="Q257" s="814"/>
      <c r="R257" s="814"/>
      <c r="S257" s="814"/>
      <c r="T257" s="814"/>
      <c r="U257" s="814"/>
      <c r="V257" s="814"/>
      <c r="W257" s="522"/>
      <c r="X257" s="96"/>
    </row>
    <row r="258" spans="1:24" ht="18.75" customHeight="1">
      <c r="A258" s="54"/>
      <c r="B258" s="525"/>
      <c r="C258" s="1051" t="s">
        <v>541</v>
      </c>
      <c r="D258" s="976"/>
      <c r="E258" s="69">
        <v>1211</v>
      </c>
      <c r="F258" s="69">
        <v>1721</v>
      </c>
      <c r="G258" s="314">
        <f>F258-E258</f>
        <v>510</v>
      </c>
      <c r="H258" s="312"/>
      <c r="I258" s="480"/>
      <c r="J258" s="811"/>
      <c r="K258" s="811"/>
      <c r="L258" s="811"/>
      <c r="M258" s="811"/>
      <c r="N258" s="811"/>
      <c r="O258" s="811"/>
      <c r="P258" s="811"/>
      <c r="Q258" s="811"/>
      <c r="R258" s="811"/>
      <c r="S258" s="811"/>
      <c r="T258" s="811"/>
      <c r="U258" s="811"/>
      <c r="V258" s="811"/>
      <c r="W258" s="804"/>
      <c r="X258" s="95"/>
    </row>
    <row r="259" spans="1:24" ht="18.75" customHeight="1">
      <c r="A259" s="483"/>
      <c r="B259" s="525"/>
      <c r="C259" s="1052"/>
      <c r="D259" s="1124" t="s">
        <v>542</v>
      </c>
      <c r="E259" s="68">
        <v>500</v>
      </c>
      <c r="F259" s="68">
        <v>1177</v>
      </c>
      <c r="G259" s="329">
        <f>F259-E259</f>
        <v>677</v>
      </c>
      <c r="H259" s="844" t="s">
        <v>774</v>
      </c>
      <c r="I259" s="942">
        <v>10000</v>
      </c>
      <c r="J259" s="539" t="s">
        <v>603</v>
      </c>
      <c r="K259" s="958">
        <v>2</v>
      </c>
      <c r="L259" s="958" t="s">
        <v>762</v>
      </c>
      <c r="M259" s="539"/>
      <c r="N259" s="539"/>
      <c r="O259" s="539"/>
      <c r="P259" s="539"/>
      <c r="Q259" s="539"/>
      <c r="R259" s="539"/>
      <c r="S259" s="539"/>
      <c r="T259" s="539"/>
      <c r="U259" s="539" t="s">
        <v>615</v>
      </c>
      <c r="V259" s="539"/>
      <c r="W259" s="869"/>
      <c r="X259" s="486">
        <f>I259*K259</f>
        <v>20000</v>
      </c>
    </row>
    <row r="260" spans="1:24" ht="18.75" customHeight="1">
      <c r="A260" s="483"/>
      <c r="B260" s="525"/>
      <c r="C260" s="1052"/>
      <c r="D260" s="1125"/>
      <c r="E260" s="73"/>
      <c r="F260" s="73"/>
      <c r="G260" s="462"/>
      <c r="H260" s="883" t="s">
        <v>751</v>
      </c>
      <c r="I260" s="944">
        <v>96415</v>
      </c>
      <c r="J260" s="106" t="s">
        <v>603</v>
      </c>
      <c r="K260" s="1161">
        <v>12</v>
      </c>
      <c r="L260" s="1161"/>
      <c r="M260" s="106" t="s">
        <v>605</v>
      </c>
      <c r="N260" s="106"/>
      <c r="O260" s="106"/>
      <c r="P260" s="106"/>
      <c r="Q260" s="106"/>
      <c r="R260" s="106"/>
      <c r="S260" s="106"/>
      <c r="T260" s="106"/>
      <c r="U260" s="106" t="s">
        <v>615</v>
      </c>
      <c r="V260" s="106"/>
      <c r="W260" s="195"/>
      <c r="X260" s="103">
        <v>1156990</v>
      </c>
    </row>
    <row r="261" spans="1:24" ht="18.75" customHeight="1">
      <c r="A261" s="54"/>
      <c r="B261" s="525"/>
      <c r="C261" s="816"/>
      <c r="D261" s="1130" t="s">
        <v>585</v>
      </c>
      <c r="E261" s="69">
        <v>711</v>
      </c>
      <c r="F261" s="69">
        <v>544</v>
      </c>
      <c r="G261" s="314">
        <f>F261-E261</f>
        <v>-167</v>
      </c>
      <c r="H261" s="844" t="s">
        <v>771</v>
      </c>
      <c r="I261" s="942">
        <v>271840</v>
      </c>
      <c r="J261" s="539" t="s">
        <v>603</v>
      </c>
      <c r="K261" s="958">
        <v>2</v>
      </c>
      <c r="L261" s="958" t="s">
        <v>605</v>
      </c>
      <c r="M261" s="539"/>
      <c r="N261" s="539"/>
      <c r="O261" s="539"/>
      <c r="P261" s="539"/>
      <c r="Q261" s="539"/>
      <c r="R261" s="539"/>
      <c r="S261" s="539"/>
      <c r="T261" s="539"/>
      <c r="U261" s="539" t="s">
        <v>615</v>
      </c>
      <c r="V261" s="539"/>
      <c r="W261" s="869"/>
      <c r="X261" s="486">
        <f>I261*K261</f>
        <v>543680</v>
      </c>
    </row>
    <row r="262" spans="1:24" ht="18.75" customHeight="1">
      <c r="A262" s="54"/>
      <c r="B262" s="525"/>
      <c r="C262" s="817"/>
      <c r="D262" s="1191"/>
      <c r="E262" s="73"/>
      <c r="F262" s="73"/>
      <c r="G262" s="537"/>
      <c r="H262" s="953"/>
      <c r="I262" s="949"/>
      <c r="J262" s="482"/>
      <c r="K262" s="482"/>
      <c r="L262" s="482"/>
      <c r="M262" s="482"/>
      <c r="N262" s="482"/>
      <c r="O262" s="482"/>
      <c r="P262" s="482"/>
      <c r="Q262" s="482"/>
      <c r="R262" s="482"/>
      <c r="S262" s="482"/>
      <c r="T262" s="482"/>
      <c r="U262" s="482"/>
      <c r="V262" s="482"/>
      <c r="W262" s="876"/>
      <c r="X262" s="102"/>
    </row>
    <row r="263" spans="1:24" ht="18.75" customHeight="1">
      <c r="A263" s="54"/>
      <c r="B263" s="525"/>
      <c r="C263" s="1052" t="s">
        <v>543</v>
      </c>
      <c r="D263" s="976"/>
      <c r="E263" s="69">
        <v>4000</v>
      </c>
      <c r="F263" s="69">
        <f>SUM(F264,F268)</f>
        <v>3844</v>
      </c>
      <c r="G263" s="314">
        <f>F263-E263</f>
        <v>-156</v>
      </c>
      <c r="H263" s="883"/>
      <c r="I263" s="944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95"/>
      <c r="X263" s="103"/>
    </row>
    <row r="264" spans="1:24" ht="15.75" customHeight="1">
      <c r="A264" s="54"/>
      <c r="B264" s="63"/>
      <c r="C264" s="1052"/>
      <c r="D264" s="1130" t="s">
        <v>544</v>
      </c>
      <c r="E264" s="68">
        <v>3000</v>
      </c>
      <c r="F264" s="68">
        <v>3344</v>
      </c>
      <c r="G264" s="317">
        <f>F264-E264</f>
        <v>344</v>
      </c>
      <c r="H264" s="844" t="s">
        <v>648</v>
      </c>
      <c r="I264" s="942"/>
      <c r="J264" s="981"/>
      <c r="K264" s="981"/>
      <c r="L264" s="981"/>
      <c r="M264" s="981"/>
      <c r="N264" s="981"/>
      <c r="O264" s="981"/>
      <c r="P264" s="981"/>
      <c r="Q264" s="981"/>
      <c r="R264" s="981"/>
      <c r="S264" s="981"/>
      <c r="T264" s="981"/>
      <c r="U264" s="981"/>
      <c r="V264" s="981"/>
      <c r="W264" s="869"/>
      <c r="X264" s="486">
        <v>344000</v>
      </c>
    </row>
    <row r="265" spans="1:24" ht="15.75" customHeight="1">
      <c r="A265" s="54"/>
      <c r="B265" s="63"/>
      <c r="C265" s="133"/>
      <c r="D265" s="1192"/>
      <c r="E265" s="69"/>
      <c r="F265" s="69"/>
      <c r="G265" s="318"/>
      <c r="H265" s="883" t="s">
        <v>775</v>
      </c>
      <c r="I265" s="944">
        <v>1200000</v>
      </c>
      <c r="J265" s="982" t="s">
        <v>603</v>
      </c>
      <c r="K265" s="980">
        <v>2</v>
      </c>
      <c r="L265" s="980" t="s">
        <v>605</v>
      </c>
      <c r="M265" s="982"/>
      <c r="N265" s="982"/>
      <c r="O265" s="982"/>
      <c r="P265" s="982"/>
      <c r="Q265" s="982"/>
      <c r="R265" s="982"/>
      <c r="S265" s="982"/>
      <c r="T265" s="982"/>
      <c r="U265" s="982" t="s">
        <v>615</v>
      </c>
      <c r="V265" s="982"/>
      <c r="W265" s="431"/>
      <c r="X265" s="103">
        <v>2400000</v>
      </c>
    </row>
    <row r="266" spans="1:24" ht="15.75" customHeight="1">
      <c r="A266" s="54"/>
      <c r="B266" s="63"/>
      <c r="C266" s="133"/>
      <c r="D266" s="148"/>
      <c r="E266" s="69"/>
      <c r="F266" s="69"/>
      <c r="G266" s="318"/>
      <c r="H266" s="883" t="s">
        <v>776</v>
      </c>
      <c r="I266" s="944">
        <v>6000</v>
      </c>
      <c r="J266" s="1021" t="s">
        <v>603</v>
      </c>
      <c r="K266" s="1017">
        <v>24</v>
      </c>
      <c r="L266" s="1017" t="s">
        <v>605</v>
      </c>
      <c r="M266" s="1021"/>
      <c r="N266" s="1021"/>
      <c r="O266" s="1021"/>
      <c r="P266" s="1021"/>
      <c r="Q266" s="1021"/>
      <c r="R266" s="1021"/>
      <c r="S266" s="1021"/>
      <c r="T266" s="1021"/>
      <c r="U266" s="1021" t="s">
        <v>615</v>
      </c>
      <c r="V266" s="1021"/>
      <c r="W266" s="431"/>
      <c r="X266" s="103">
        <v>144000</v>
      </c>
    </row>
    <row r="267" spans="1:24" ht="15.75" customHeight="1">
      <c r="A267" s="54"/>
      <c r="B267" s="63"/>
      <c r="C267" s="133"/>
      <c r="D267" s="1020"/>
      <c r="E267" s="69"/>
      <c r="F267" s="69"/>
      <c r="G267" s="1022"/>
      <c r="H267" s="542" t="s">
        <v>777</v>
      </c>
      <c r="I267" s="949">
        <v>76000</v>
      </c>
      <c r="J267" s="1018" t="s">
        <v>603</v>
      </c>
      <c r="K267" s="1019">
        <v>1</v>
      </c>
      <c r="L267" s="1019" t="s">
        <v>605</v>
      </c>
      <c r="M267" s="1018"/>
      <c r="N267" s="1018"/>
      <c r="O267" s="1018"/>
      <c r="P267" s="1018"/>
      <c r="Q267" s="1018"/>
      <c r="R267" s="1018"/>
      <c r="S267" s="1018"/>
      <c r="T267" s="1018"/>
      <c r="U267" s="1018" t="s">
        <v>615</v>
      </c>
      <c r="V267" s="1018"/>
      <c r="W267" s="542"/>
      <c r="X267" s="102">
        <v>456000</v>
      </c>
    </row>
    <row r="268" spans="1:24" ht="15.75" customHeight="1">
      <c r="A268" s="54"/>
      <c r="B268" s="63"/>
      <c r="C268" s="142"/>
      <c r="D268" s="1130" t="s">
        <v>545</v>
      </c>
      <c r="E268" s="68">
        <v>1000</v>
      </c>
      <c r="F268" s="68">
        <v>500</v>
      </c>
      <c r="G268" s="318">
        <f>F268-E268</f>
        <v>-500</v>
      </c>
      <c r="H268" s="431" t="s">
        <v>798</v>
      </c>
      <c r="I268" s="944">
        <v>500000</v>
      </c>
      <c r="J268" s="1021" t="s">
        <v>799</v>
      </c>
      <c r="K268" s="1017">
        <v>1</v>
      </c>
      <c r="L268" s="1017" t="s">
        <v>800</v>
      </c>
      <c r="U268" t="s">
        <v>801</v>
      </c>
      <c r="X268" s="486">
        <v>500000</v>
      </c>
    </row>
    <row r="269" spans="1:24" ht="15.75" customHeight="1" thickBot="1">
      <c r="A269" s="80"/>
      <c r="B269" s="122"/>
      <c r="C269" s="122"/>
      <c r="D269" s="1188"/>
      <c r="E269" s="73"/>
      <c r="F269" s="73"/>
      <c r="G269" s="320"/>
      <c r="H269" s="1016"/>
      <c r="I269" s="944"/>
      <c r="J269" s="982"/>
      <c r="K269" s="980"/>
      <c r="L269" s="980"/>
      <c r="M269" s="982"/>
      <c r="N269" s="982"/>
      <c r="O269" s="982"/>
      <c r="P269" s="982"/>
      <c r="Q269" s="982"/>
      <c r="R269" s="982"/>
      <c r="S269" s="982"/>
      <c r="T269" s="982"/>
      <c r="U269" s="982"/>
      <c r="V269" s="982"/>
      <c r="W269" s="431"/>
      <c r="X269" s="103"/>
    </row>
    <row r="270" spans="1:24" ht="17.25" customHeight="1" hidden="1">
      <c r="A270" s="1089" t="s">
        <v>546</v>
      </c>
      <c r="B270" s="217"/>
      <c r="C270" s="217"/>
      <c r="D270" s="1009"/>
      <c r="E270" s="194"/>
      <c r="F270" s="194"/>
      <c r="G270" s="137"/>
      <c r="H270" s="791"/>
      <c r="I270" s="470"/>
      <c r="J270" s="824"/>
      <c r="K270" s="824"/>
      <c r="L270" s="824"/>
      <c r="M270" s="824"/>
      <c r="N270" s="824"/>
      <c r="O270" s="824"/>
      <c r="P270" s="824"/>
      <c r="Q270" s="824"/>
      <c r="R270" s="824"/>
      <c r="S270" s="824"/>
      <c r="T270" s="824"/>
      <c r="U270" s="808"/>
      <c r="V270" s="808"/>
      <c r="W270" s="52"/>
      <c r="X270" s="96"/>
    </row>
    <row r="271" spans="1:24" ht="17.25" customHeight="1" hidden="1">
      <c r="A271" s="1090"/>
      <c r="B271" s="1091" t="s">
        <v>547</v>
      </c>
      <c r="C271" s="213"/>
      <c r="D271" s="1010"/>
      <c r="E271" s="107"/>
      <c r="F271" s="107"/>
      <c r="G271" s="64"/>
      <c r="H271" s="428"/>
      <c r="I271" s="219"/>
      <c r="J271" s="429"/>
      <c r="K271" s="429"/>
      <c r="L271" s="429"/>
      <c r="M271" s="429"/>
      <c r="N271" s="429"/>
      <c r="O271" s="429"/>
      <c r="P271" s="429"/>
      <c r="Q271" s="429"/>
      <c r="R271" s="429"/>
      <c r="S271" s="429"/>
      <c r="T271" s="429"/>
      <c r="U271" s="127"/>
      <c r="V271" s="127"/>
      <c r="W271" s="59"/>
      <c r="X271" s="98"/>
    </row>
    <row r="272" spans="1:24" ht="17.25" customHeight="1" hidden="1" thickBot="1">
      <c r="A272" s="215"/>
      <c r="B272" s="1092"/>
      <c r="C272" s="1091" t="s">
        <v>548</v>
      </c>
      <c r="D272" s="1010"/>
      <c r="E272" s="107"/>
      <c r="F272" s="107"/>
      <c r="G272" s="64"/>
      <c r="H272" s="428"/>
      <c r="I272" s="219"/>
      <c r="J272" s="429"/>
      <c r="K272" s="429"/>
      <c r="L272" s="429"/>
      <c r="M272" s="429"/>
      <c r="N272" s="429"/>
      <c r="O272" s="429"/>
      <c r="P272" s="429"/>
      <c r="Q272" s="429"/>
      <c r="R272" s="429"/>
      <c r="S272" s="429"/>
      <c r="T272" s="429"/>
      <c r="U272" s="127"/>
      <c r="V272" s="127"/>
      <c r="W272" s="59"/>
      <c r="X272" s="98"/>
    </row>
    <row r="273" spans="1:24" ht="17.25" customHeight="1" hidden="1">
      <c r="A273" s="215"/>
      <c r="B273" s="216"/>
      <c r="C273" s="1092"/>
      <c r="D273" s="1189" t="s">
        <v>549</v>
      </c>
      <c r="E273" s="69"/>
      <c r="F273" s="69"/>
      <c r="G273" s="63"/>
      <c r="H273" s="800" t="s">
        <v>550</v>
      </c>
      <c r="I273" s="132"/>
      <c r="J273" s="820"/>
      <c r="K273" s="820"/>
      <c r="L273" s="820"/>
      <c r="M273" s="820"/>
      <c r="N273" s="820"/>
      <c r="O273" s="820"/>
      <c r="P273" s="820"/>
      <c r="Q273" s="820"/>
      <c r="R273" s="820"/>
      <c r="S273" s="820"/>
      <c r="T273" s="820"/>
      <c r="U273" s="794"/>
      <c r="V273" s="794"/>
      <c r="W273" s="66"/>
      <c r="X273" s="95"/>
    </row>
    <row r="274" spans="1:24" ht="17.25" customHeight="1" hidden="1" thickBot="1">
      <c r="A274" s="218"/>
      <c r="B274" s="506"/>
      <c r="C274" s="506"/>
      <c r="D274" s="1190"/>
      <c r="E274" s="109"/>
      <c r="F274" s="109"/>
      <c r="G274" s="122"/>
      <c r="H274" s="802"/>
      <c r="I274" s="212"/>
      <c r="J274" s="823"/>
      <c r="K274" s="823"/>
      <c r="L274" s="823"/>
      <c r="M274" s="823"/>
      <c r="N274" s="823"/>
      <c r="O274" s="823"/>
      <c r="P274" s="823"/>
      <c r="Q274" s="823"/>
      <c r="R274" s="823"/>
      <c r="S274" s="823"/>
      <c r="T274" s="823"/>
      <c r="U274" s="523"/>
      <c r="V274" s="523"/>
      <c r="W274" s="110"/>
      <c r="X274" s="112"/>
    </row>
    <row r="275" spans="1:24" ht="17.25" customHeight="1" hidden="1">
      <c r="A275" s="1086" t="s">
        <v>551</v>
      </c>
      <c r="B275" s="203"/>
      <c r="C275" s="214"/>
      <c r="D275" s="1011"/>
      <c r="E275" s="196">
        <v>0</v>
      </c>
      <c r="F275" s="196">
        <f>SUM(F276)</f>
        <v>0</v>
      </c>
      <c r="G275" s="50"/>
      <c r="H275" s="52"/>
      <c r="I275" s="52"/>
      <c r="J275" s="808"/>
      <c r="K275" s="808"/>
      <c r="L275" s="808"/>
      <c r="M275" s="808"/>
      <c r="N275" s="808"/>
      <c r="O275" s="808"/>
      <c r="P275" s="808"/>
      <c r="Q275" s="808"/>
      <c r="R275" s="808"/>
      <c r="S275" s="808"/>
      <c r="T275" s="808"/>
      <c r="U275" s="808"/>
      <c r="V275" s="52"/>
      <c r="W275" s="808"/>
      <c r="X275" s="96"/>
    </row>
    <row r="276" spans="1:24" ht="17.25" customHeight="1" hidden="1">
      <c r="A276" s="1086"/>
      <c r="B276" s="1141" t="s">
        <v>552</v>
      </c>
      <c r="C276" s="206"/>
      <c r="D276" s="1002"/>
      <c r="E276" s="107">
        <v>0</v>
      </c>
      <c r="F276" s="107">
        <f>SUM(F277,F280)</f>
        <v>0</v>
      </c>
      <c r="G276" s="64"/>
      <c r="H276" s="59"/>
      <c r="I276" s="59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59"/>
      <c r="W276" s="127"/>
      <c r="X276" s="98"/>
    </row>
    <row r="277" spans="1:24" ht="17.25" customHeight="1" hidden="1" thickBot="1">
      <c r="A277" s="92"/>
      <c r="B277" s="1145"/>
      <c r="C277" s="1176" t="s">
        <v>553</v>
      </c>
      <c r="D277" s="975"/>
      <c r="E277" s="69">
        <v>0</v>
      </c>
      <c r="F277" s="69">
        <f>SUM(F278)</f>
        <v>0</v>
      </c>
      <c r="G277" s="63"/>
      <c r="H277" s="66"/>
      <c r="I277" s="66"/>
      <c r="J277" s="794"/>
      <c r="K277" s="794"/>
      <c r="L277" s="794"/>
      <c r="M277" s="794"/>
      <c r="N277" s="794"/>
      <c r="O277" s="794"/>
      <c r="P277" s="794"/>
      <c r="Q277" s="794"/>
      <c r="R277" s="794"/>
      <c r="S277" s="794"/>
      <c r="T277" s="794"/>
      <c r="U277" s="794"/>
      <c r="V277" s="66"/>
      <c r="W277" s="794"/>
      <c r="X277" s="95"/>
    </row>
    <row r="278" spans="1:24" ht="17.25" customHeight="1" hidden="1">
      <c r="A278" s="54"/>
      <c r="B278" s="378"/>
      <c r="C278" s="1177"/>
      <c r="D278" s="1124" t="s">
        <v>554</v>
      </c>
      <c r="E278" s="68"/>
      <c r="F278" s="68"/>
      <c r="G278" s="966"/>
      <c r="H278" s="78" t="s">
        <v>555</v>
      </c>
      <c r="I278" s="78"/>
      <c r="J278" s="830"/>
      <c r="K278" s="830"/>
      <c r="L278" s="830"/>
      <c r="M278" s="830"/>
      <c r="N278" s="830"/>
      <c r="O278" s="830"/>
      <c r="P278" s="830"/>
      <c r="Q278" s="830"/>
      <c r="R278" s="830"/>
      <c r="S278" s="830"/>
      <c r="T278" s="830"/>
      <c r="U278" s="830"/>
      <c r="V278" s="78"/>
      <c r="W278" s="830"/>
      <c r="X278" s="74"/>
    </row>
    <row r="279" spans="1:24" ht="17.25" customHeight="1" hidden="1" thickBot="1">
      <c r="A279" s="80"/>
      <c r="B279" s="158"/>
      <c r="C279" s="207"/>
      <c r="D279" s="1136"/>
      <c r="E279" s="109"/>
      <c r="F279" s="109"/>
      <c r="G279" s="199"/>
      <c r="H279" s="110"/>
      <c r="I279" s="110"/>
      <c r="J279" s="523"/>
      <c r="K279" s="523"/>
      <c r="L279" s="523"/>
      <c r="M279" s="523"/>
      <c r="N279" s="523"/>
      <c r="O279" s="523"/>
      <c r="P279" s="523"/>
      <c r="Q279" s="523"/>
      <c r="R279" s="523"/>
      <c r="S279" s="523"/>
      <c r="T279" s="523"/>
      <c r="U279" s="523"/>
      <c r="V279" s="110"/>
      <c r="W279" s="523"/>
      <c r="X279" s="112"/>
    </row>
    <row r="280" spans="1:24" ht="17.25" customHeight="1" hidden="1">
      <c r="A280" s="1184" t="str">
        <f>A275</f>
        <v>06.부채   상환금</v>
      </c>
      <c r="B280" s="1186" t="str">
        <f>B276</f>
        <v>61.부채     상환금</v>
      </c>
      <c r="C280" s="1187" t="s">
        <v>556</v>
      </c>
      <c r="D280" s="998"/>
      <c r="E280" s="159">
        <v>0</v>
      </c>
      <c r="F280" s="159">
        <f>SUM(F281)</f>
        <v>0</v>
      </c>
      <c r="G280" s="324">
        <f>F280-E280</f>
        <v>0</v>
      </c>
      <c r="H280" s="124"/>
      <c r="I280" s="124"/>
      <c r="J280" s="457"/>
      <c r="K280" s="457"/>
      <c r="L280" s="457"/>
      <c r="M280" s="457"/>
      <c r="N280" s="457"/>
      <c r="O280" s="457"/>
      <c r="P280" s="457"/>
      <c r="Q280" s="457"/>
      <c r="R280" s="457"/>
      <c r="S280" s="457"/>
      <c r="T280" s="457"/>
      <c r="U280" s="457"/>
      <c r="V280" s="124"/>
      <c r="W280" s="457"/>
      <c r="X280" s="161"/>
    </row>
    <row r="281" spans="1:24" ht="17.25" customHeight="1" hidden="1">
      <c r="A281" s="1185"/>
      <c r="B281" s="1155"/>
      <c r="C281" s="1177"/>
      <c r="D281" s="1124" t="s">
        <v>557</v>
      </c>
      <c r="E281" s="68">
        <v>0</v>
      </c>
      <c r="F281" s="68">
        <v>0</v>
      </c>
      <c r="G281" s="316">
        <f>F281-E281</f>
        <v>0</v>
      </c>
      <c r="H281" s="78" t="s">
        <v>558</v>
      </c>
      <c r="I281" s="78"/>
      <c r="J281" s="830"/>
      <c r="K281" s="830"/>
      <c r="L281" s="830"/>
      <c r="M281" s="830"/>
      <c r="N281" s="830"/>
      <c r="O281" s="830"/>
      <c r="P281" s="830"/>
      <c r="Q281" s="830"/>
      <c r="R281" s="830"/>
      <c r="S281" s="830"/>
      <c r="T281" s="830"/>
      <c r="U281" s="830"/>
      <c r="V281" s="78"/>
      <c r="W281" s="830"/>
      <c r="X281" s="74"/>
    </row>
    <row r="282" spans="1:24" ht="17.25" customHeight="1" hidden="1" thickBot="1">
      <c r="A282" s="80"/>
      <c r="B282" s="158"/>
      <c r="C282" s="207"/>
      <c r="D282" s="1136"/>
      <c r="E282" s="109"/>
      <c r="F282" s="109"/>
      <c r="G282" s="199"/>
      <c r="H282" s="110"/>
      <c r="I282" s="110"/>
      <c r="J282" s="523"/>
      <c r="K282" s="523"/>
      <c r="L282" s="523"/>
      <c r="M282" s="523"/>
      <c r="N282" s="523"/>
      <c r="O282" s="523"/>
      <c r="P282" s="523"/>
      <c r="Q282" s="523"/>
      <c r="R282" s="523"/>
      <c r="S282" s="523"/>
      <c r="T282" s="523"/>
      <c r="U282" s="523"/>
      <c r="V282" s="110"/>
      <c r="W282" s="523"/>
      <c r="X282" s="112"/>
    </row>
    <row r="283" spans="1:24" ht="17.25" customHeight="1">
      <c r="A283" s="1085" t="s">
        <v>559</v>
      </c>
      <c r="B283" s="201"/>
      <c r="C283" s="208"/>
      <c r="D283" s="1012"/>
      <c r="E283" s="197">
        <v>1000</v>
      </c>
      <c r="F283" s="197">
        <f>SUM(F284)</f>
        <v>712</v>
      </c>
      <c r="G283" s="322">
        <f>F283-E283</f>
        <v>-288</v>
      </c>
      <c r="H283" s="85"/>
      <c r="I283" s="85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85"/>
      <c r="W283" s="160"/>
      <c r="X283" s="97"/>
    </row>
    <row r="284" spans="1:24" ht="17.25" customHeight="1">
      <c r="A284" s="1086"/>
      <c r="B284" s="502" t="s">
        <v>560</v>
      </c>
      <c r="C284" s="206"/>
      <c r="D284" s="1002"/>
      <c r="E284" s="107">
        <v>1000</v>
      </c>
      <c r="F284" s="107">
        <f>SUM(F285)</f>
        <v>712</v>
      </c>
      <c r="G284" s="318">
        <f>F284-E284</f>
        <v>-288</v>
      </c>
      <c r="H284" s="59"/>
      <c r="I284" s="59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59"/>
      <c r="W284" s="127"/>
      <c r="X284" s="98"/>
    </row>
    <row r="285" spans="1:24" ht="17.25" customHeight="1">
      <c r="A285" s="92"/>
      <c r="B285" s="378"/>
      <c r="C285" s="1176" t="s">
        <v>561</v>
      </c>
      <c r="D285" s="975"/>
      <c r="E285" s="69">
        <v>1000</v>
      </c>
      <c r="F285" s="69">
        <f>SUM(F286)</f>
        <v>712</v>
      </c>
      <c r="G285" s="313">
        <f>F285-E285</f>
        <v>-288</v>
      </c>
      <c r="H285" s="66"/>
      <c r="I285" s="66"/>
      <c r="J285" s="794"/>
      <c r="K285" s="794"/>
      <c r="L285" s="794"/>
      <c r="M285" s="794"/>
      <c r="N285" s="794"/>
      <c r="O285" s="794"/>
      <c r="P285" s="127"/>
      <c r="Q285" s="127"/>
      <c r="R285" s="794"/>
      <c r="S285" s="794"/>
      <c r="T285" s="794"/>
      <c r="U285" s="794"/>
      <c r="V285" s="66"/>
      <c r="W285" s="794"/>
      <c r="X285" s="95"/>
    </row>
    <row r="286" spans="1:24" ht="17.25" customHeight="1">
      <c r="A286" s="92"/>
      <c r="B286" s="378"/>
      <c r="C286" s="1177"/>
      <c r="D286" s="986" t="s">
        <v>562</v>
      </c>
      <c r="E286" s="68">
        <v>1000</v>
      </c>
      <c r="F286" s="68">
        <v>712</v>
      </c>
      <c r="G286" s="317">
        <f>F286-E286</f>
        <v>-288</v>
      </c>
      <c r="H286" s="939" t="s">
        <v>778</v>
      </c>
      <c r="I286" s="909"/>
      <c r="J286" s="909"/>
      <c r="K286" s="909"/>
      <c r="L286" s="909"/>
      <c r="M286" s="909"/>
      <c r="N286" s="909"/>
      <c r="O286" s="909"/>
      <c r="P286" s="960"/>
      <c r="Q286" s="960"/>
      <c r="R286" s="909"/>
      <c r="S286" s="909"/>
      <c r="T286" s="909"/>
      <c r="U286" s="463"/>
      <c r="V286" s="1179">
        <v>550000</v>
      </c>
      <c r="W286" s="1179"/>
      <c r="X286" s="1180"/>
    </row>
    <row r="287" spans="1:24" ht="17.25" customHeight="1" thickBot="1">
      <c r="A287" s="157"/>
      <c r="B287" s="158"/>
      <c r="C287" s="207"/>
      <c r="D287" s="1004"/>
      <c r="E287" s="109"/>
      <c r="F287" s="109"/>
      <c r="G287" s="122"/>
      <c r="H287" s="961" t="s">
        <v>779</v>
      </c>
      <c r="I287" s="961"/>
      <c r="J287" s="921"/>
      <c r="K287" s="921"/>
      <c r="L287" s="921"/>
      <c r="M287" s="921"/>
      <c r="N287" s="921"/>
      <c r="O287" s="921"/>
      <c r="P287" s="921"/>
      <c r="Q287" s="921"/>
      <c r="R287" s="921"/>
      <c r="S287" s="921"/>
      <c r="T287" s="921"/>
      <c r="U287" s="921"/>
      <c r="V287" s="961"/>
      <c r="W287" s="921"/>
      <c r="X287" s="922">
        <v>162000</v>
      </c>
    </row>
    <row r="288" spans="1:24" ht="17.25" customHeight="1">
      <c r="A288" s="1085" t="s">
        <v>564</v>
      </c>
      <c r="B288" s="360"/>
      <c r="C288" s="361"/>
      <c r="D288" s="1013"/>
      <c r="E288" s="197">
        <v>0</v>
      </c>
      <c r="F288" s="197">
        <f>SUM(F289)</f>
        <v>0</v>
      </c>
      <c r="G288" s="322">
        <f>F288-E288</f>
        <v>0</v>
      </c>
      <c r="H288" s="962"/>
      <c r="I288" s="962"/>
      <c r="J288" s="963"/>
      <c r="K288" s="963"/>
      <c r="L288" s="963"/>
      <c r="M288" s="963"/>
      <c r="N288" s="963"/>
      <c r="O288" s="963"/>
      <c r="P288" s="963"/>
      <c r="Q288" s="963"/>
      <c r="R288" s="963"/>
      <c r="S288" s="963"/>
      <c r="T288" s="963"/>
      <c r="U288" s="963"/>
      <c r="V288" s="962"/>
      <c r="W288" s="963"/>
      <c r="X288" s="287"/>
    </row>
    <row r="289" spans="1:24" ht="17.25" customHeight="1">
      <c r="A289" s="1086"/>
      <c r="B289" s="1051" t="s">
        <v>565</v>
      </c>
      <c r="C289" s="362"/>
      <c r="D289" s="1007"/>
      <c r="E289" s="107">
        <v>0</v>
      </c>
      <c r="F289" s="107">
        <f>SUM(F290)</f>
        <v>0</v>
      </c>
      <c r="G289" s="318">
        <f>F289-E289</f>
        <v>0</v>
      </c>
      <c r="H289" s="601"/>
      <c r="I289" s="601"/>
      <c r="J289" s="600"/>
      <c r="K289" s="600"/>
      <c r="L289" s="600"/>
      <c r="M289" s="600"/>
      <c r="N289" s="600"/>
      <c r="O289" s="600"/>
      <c r="P289" s="600"/>
      <c r="Q289" s="600"/>
      <c r="R289" s="600"/>
      <c r="S289" s="600"/>
      <c r="T289" s="600"/>
      <c r="U289" s="600"/>
      <c r="V289" s="601"/>
      <c r="W289" s="600"/>
      <c r="X289" s="101"/>
    </row>
    <row r="290" spans="1:24" ht="17.25" customHeight="1">
      <c r="A290" s="147"/>
      <c r="B290" s="1052"/>
      <c r="C290" s="1176" t="s">
        <v>566</v>
      </c>
      <c r="D290" s="983"/>
      <c r="E290" s="69">
        <v>0</v>
      </c>
      <c r="F290" s="69">
        <f>SUM(F291)</f>
        <v>0</v>
      </c>
      <c r="G290" s="313">
        <f>F290-E290</f>
        <v>0</v>
      </c>
      <c r="H290" s="431"/>
      <c r="I290" s="431"/>
      <c r="J290" s="246"/>
      <c r="K290" s="246"/>
      <c r="L290" s="246"/>
      <c r="M290" s="246"/>
      <c r="N290" s="246"/>
      <c r="O290" s="246"/>
      <c r="P290" s="600"/>
      <c r="Q290" s="600"/>
      <c r="R290" s="246"/>
      <c r="S290" s="246"/>
      <c r="T290" s="246"/>
      <c r="U290" s="246"/>
      <c r="V290" s="431"/>
      <c r="W290" s="246"/>
      <c r="X290" s="103"/>
    </row>
    <row r="291" spans="1:24" ht="17.25" customHeight="1">
      <c r="A291" s="147"/>
      <c r="B291" s="148"/>
      <c r="C291" s="1177"/>
      <c r="D291" s="1141" t="s">
        <v>567</v>
      </c>
      <c r="E291" s="68">
        <v>0</v>
      </c>
      <c r="F291" s="68">
        <f>V291/1000</f>
        <v>0</v>
      </c>
      <c r="G291" s="317">
        <f>F291-E291</f>
        <v>0</v>
      </c>
      <c r="H291" s="1182" t="s">
        <v>780</v>
      </c>
      <c r="I291" s="1183"/>
      <c r="J291" s="1183"/>
      <c r="K291" s="1183"/>
      <c r="L291" s="1183"/>
      <c r="M291" s="1183"/>
      <c r="N291" s="1183"/>
      <c r="O291" s="1183"/>
      <c r="P291" s="960"/>
      <c r="Q291" s="960"/>
      <c r="R291" s="909"/>
      <c r="S291" s="909"/>
      <c r="T291" s="909"/>
      <c r="U291" s="463"/>
      <c r="V291" s="1179"/>
      <c r="W291" s="1179"/>
      <c r="X291" s="1180"/>
    </row>
    <row r="292" spans="1:24" ht="17.25" customHeight="1" thickBot="1">
      <c r="A292" s="363"/>
      <c r="B292" s="364"/>
      <c r="C292" s="365"/>
      <c r="D292" s="1181"/>
      <c r="E292" s="109"/>
      <c r="F292" s="109"/>
      <c r="G292" s="122"/>
      <c r="H292" s="961"/>
      <c r="I292" s="961"/>
      <c r="J292" s="921"/>
      <c r="K292" s="921"/>
      <c r="L292" s="921"/>
      <c r="M292" s="921"/>
      <c r="N292" s="921"/>
      <c r="O292" s="921"/>
      <c r="P292" s="921"/>
      <c r="Q292" s="921"/>
      <c r="R292" s="921"/>
      <c r="S292" s="921"/>
      <c r="T292" s="921"/>
      <c r="U292" s="921"/>
      <c r="V292" s="961"/>
      <c r="W292" s="921"/>
      <c r="X292" s="922"/>
    </row>
    <row r="293" spans="1:24" ht="17.25" customHeight="1">
      <c r="A293" s="1085" t="s">
        <v>568</v>
      </c>
      <c r="B293" s="201"/>
      <c r="C293" s="208"/>
      <c r="D293" s="1012"/>
      <c r="E293" s="194">
        <v>12022</v>
      </c>
      <c r="F293" s="194">
        <f>SUM(F294)</f>
        <v>6642</v>
      </c>
      <c r="G293" s="322">
        <f>F293-E293</f>
        <v>-5380</v>
      </c>
      <c r="H293" s="962"/>
      <c r="I293" s="962"/>
      <c r="J293" s="963"/>
      <c r="K293" s="963"/>
      <c r="L293" s="963"/>
      <c r="M293" s="963"/>
      <c r="N293" s="963"/>
      <c r="O293" s="963"/>
      <c r="P293" s="963"/>
      <c r="Q293" s="963"/>
      <c r="R293" s="963"/>
      <c r="S293" s="963"/>
      <c r="T293" s="963"/>
      <c r="U293" s="963"/>
      <c r="V293" s="962"/>
      <c r="W293" s="963"/>
      <c r="X293" s="287"/>
    </row>
    <row r="294" spans="1:24" ht="17.25" customHeight="1">
      <c r="A294" s="1086"/>
      <c r="B294" s="502" t="s">
        <v>569</v>
      </c>
      <c r="C294" s="209"/>
      <c r="D294" s="973"/>
      <c r="E294" s="68">
        <v>12022</v>
      </c>
      <c r="F294" s="68">
        <f>SUM(F295:F295)</f>
        <v>6642</v>
      </c>
      <c r="G294" s="313">
        <f>F294-E294</f>
        <v>-5380</v>
      </c>
      <c r="H294" s="464"/>
      <c r="I294" s="464"/>
      <c r="J294" s="463"/>
      <c r="K294" s="463"/>
      <c r="L294" s="463"/>
      <c r="M294" s="463"/>
      <c r="N294" s="463"/>
      <c r="O294" s="463"/>
      <c r="P294" s="463"/>
      <c r="Q294" s="463"/>
      <c r="R294" s="463"/>
      <c r="S294" s="463"/>
      <c r="T294" s="463"/>
      <c r="U294" s="463"/>
      <c r="V294" s="464"/>
      <c r="W294" s="463"/>
      <c r="X294" s="486"/>
    </row>
    <row r="295" spans="1:24" ht="17.25" customHeight="1">
      <c r="A295" s="841"/>
      <c r="B295" s="202"/>
      <c r="C295" s="1176" t="s">
        <v>570</v>
      </c>
      <c r="D295" s="1002"/>
      <c r="E295" s="107">
        <v>12022</v>
      </c>
      <c r="F295" s="107">
        <f>F296</f>
        <v>6642</v>
      </c>
      <c r="G295" s="318">
        <f>F295-E295</f>
        <v>-5380</v>
      </c>
      <c r="H295" s="601"/>
      <c r="I295" s="601"/>
      <c r="J295" s="600"/>
      <c r="K295" s="600"/>
      <c r="L295" s="600"/>
      <c r="M295" s="600"/>
      <c r="N295" s="600"/>
      <c r="O295" s="600"/>
      <c r="P295" s="600"/>
      <c r="Q295" s="600"/>
      <c r="R295" s="600"/>
      <c r="S295" s="600"/>
      <c r="T295" s="600"/>
      <c r="U295" s="600"/>
      <c r="V295" s="601"/>
      <c r="W295" s="600"/>
      <c r="X295" s="101"/>
    </row>
    <row r="296" spans="1:24" ht="17.25" customHeight="1">
      <c r="A296" s="841"/>
      <c r="B296" s="202"/>
      <c r="C296" s="1177"/>
      <c r="D296" s="973" t="s">
        <v>571</v>
      </c>
      <c r="E296" s="68">
        <v>12022</v>
      </c>
      <c r="F296" s="68">
        <v>6642</v>
      </c>
      <c r="G296" s="317">
        <f>F296-E296</f>
        <v>-5380</v>
      </c>
      <c r="H296" s="464" t="s">
        <v>781</v>
      </c>
      <c r="I296" s="464"/>
      <c r="J296" s="463"/>
      <c r="K296" s="463"/>
      <c r="L296" s="463"/>
      <c r="M296" s="463"/>
      <c r="N296" s="463"/>
      <c r="O296" s="960"/>
      <c r="P296" s="960"/>
      <c r="Q296" s="909"/>
      <c r="R296" s="909"/>
      <c r="S296" s="909"/>
      <c r="T296" s="909"/>
      <c r="U296" s="463"/>
      <c r="V296" s="865"/>
      <c r="W296" s="865"/>
      <c r="X296" s="866">
        <v>6642327</v>
      </c>
    </row>
    <row r="297" spans="1:24" ht="17.25" customHeight="1" thickBot="1">
      <c r="A297" s="842"/>
      <c r="B297" s="358"/>
      <c r="C297" s="207"/>
      <c r="D297" s="1014"/>
      <c r="E297" s="109"/>
      <c r="F297" s="109"/>
      <c r="G297" s="122"/>
      <c r="H297" s="110"/>
      <c r="I297" s="110"/>
      <c r="J297" s="523"/>
      <c r="K297" s="523"/>
      <c r="L297" s="523"/>
      <c r="M297" s="523"/>
      <c r="N297" s="523"/>
      <c r="O297" s="523"/>
      <c r="P297" s="523"/>
      <c r="Q297" s="523"/>
      <c r="R297" s="523"/>
      <c r="S297" s="523"/>
      <c r="T297" s="523"/>
      <c r="U297" s="523"/>
      <c r="V297" s="110"/>
      <c r="W297" s="523"/>
      <c r="X297" s="112"/>
    </row>
    <row r="298" spans="1:24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</sheetData>
  <mergeCells count="381">
    <mergeCell ref="K70:L70"/>
    <mergeCell ref="K71:L71"/>
    <mergeCell ref="K72:L72"/>
    <mergeCell ref="K85:L85"/>
    <mergeCell ref="K216:L216"/>
    <mergeCell ref="D208:D209"/>
    <mergeCell ref="K208:L208"/>
    <mergeCell ref="K209:L209"/>
    <mergeCell ref="D210:D211"/>
    <mergeCell ref="K210:L210"/>
    <mergeCell ref="D212:D213"/>
    <mergeCell ref="K212:L212"/>
    <mergeCell ref="K213:L213"/>
    <mergeCell ref="K214:L214"/>
    <mergeCell ref="D203:D207"/>
    <mergeCell ref="K204:L204"/>
    <mergeCell ref="K111:L111"/>
    <mergeCell ref="K205:L205"/>
    <mergeCell ref="K193:L193"/>
    <mergeCell ref="D195:D196"/>
    <mergeCell ref="K195:L195"/>
    <mergeCell ref="K196:L196"/>
    <mergeCell ref="D185:D186"/>
    <mergeCell ref="D215:D216"/>
    <mergeCell ref="D268:D269"/>
    <mergeCell ref="A270:A271"/>
    <mergeCell ref="B271:B272"/>
    <mergeCell ref="C272:C273"/>
    <mergeCell ref="D273:D274"/>
    <mergeCell ref="C258:C260"/>
    <mergeCell ref="D261:D262"/>
    <mergeCell ref="D245:D246"/>
    <mergeCell ref="K236:L236"/>
    <mergeCell ref="K245:L245"/>
    <mergeCell ref="K246:L246"/>
    <mergeCell ref="D252:D253"/>
    <mergeCell ref="C263:C264"/>
    <mergeCell ref="D264:D265"/>
    <mergeCell ref="D250:D251"/>
    <mergeCell ref="D259:D260"/>
    <mergeCell ref="K260:L260"/>
    <mergeCell ref="C247:C249"/>
    <mergeCell ref="D248:D249"/>
    <mergeCell ref="K238:L238"/>
    <mergeCell ref="K237:L237"/>
    <mergeCell ref="K239:L239"/>
    <mergeCell ref="K240:L240"/>
    <mergeCell ref="D239:D240"/>
    <mergeCell ref="V286:X286"/>
    <mergeCell ref="A288:A289"/>
    <mergeCell ref="B289:B290"/>
    <mergeCell ref="C290:C291"/>
    <mergeCell ref="D291:D292"/>
    <mergeCell ref="H291:O291"/>
    <mergeCell ref="V291:X291"/>
    <mergeCell ref="A275:A276"/>
    <mergeCell ref="B276:B277"/>
    <mergeCell ref="C277:C278"/>
    <mergeCell ref="D278:D279"/>
    <mergeCell ref="A280:A281"/>
    <mergeCell ref="B280:B281"/>
    <mergeCell ref="C280:C281"/>
    <mergeCell ref="D281:D282"/>
    <mergeCell ref="A293:A294"/>
    <mergeCell ref="C295:C296"/>
    <mergeCell ref="K106:L106"/>
    <mergeCell ref="D181:D182"/>
    <mergeCell ref="K181:L181"/>
    <mergeCell ref="K182:L182"/>
    <mergeCell ref="R215:S215"/>
    <mergeCell ref="A283:A284"/>
    <mergeCell ref="C285:C286"/>
    <mergeCell ref="K228:L228"/>
    <mergeCell ref="K229:L229"/>
    <mergeCell ref="D226:D227"/>
    <mergeCell ref="K226:L226"/>
    <mergeCell ref="K227:L227"/>
    <mergeCell ref="D228:D229"/>
    <mergeCell ref="D254:D255"/>
    <mergeCell ref="D256:D257"/>
    <mergeCell ref="D241:D242"/>
    <mergeCell ref="K241:L241"/>
    <mergeCell ref="K242:L242"/>
    <mergeCell ref="D243:D244"/>
    <mergeCell ref="K243:L243"/>
    <mergeCell ref="K244:L244"/>
    <mergeCell ref="D236:D238"/>
    <mergeCell ref="K215:L215"/>
    <mergeCell ref="K90:L90"/>
    <mergeCell ref="K189:L189"/>
    <mergeCell ref="K194:L194"/>
    <mergeCell ref="D193:D194"/>
    <mergeCell ref="A193:A194"/>
    <mergeCell ref="B193:B194"/>
    <mergeCell ref="C193:C195"/>
    <mergeCell ref="K186:L186"/>
    <mergeCell ref="K187:L187"/>
    <mergeCell ref="K188:L188"/>
    <mergeCell ref="C190:C192"/>
    <mergeCell ref="D191:D192"/>
    <mergeCell ref="K191:L191"/>
    <mergeCell ref="D179:D180"/>
    <mergeCell ref="K179:L179"/>
    <mergeCell ref="K180:L180"/>
    <mergeCell ref="D183:D184"/>
    <mergeCell ref="K183:L183"/>
    <mergeCell ref="K184:L184"/>
    <mergeCell ref="C174:C176"/>
    <mergeCell ref="D175:D176"/>
    <mergeCell ref="K185:L185"/>
    <mergeCell ref="K175:L175"/>
    <mergeCell ref="D234:D235"/>
    <mergeCell ref="K234:L234"/>
    <mergeCell ref="K235:L235"/>
    <mergeCell ref="D230:D231"/>
    <mergeCell ref="K230:L230"/>
    <mergeCell ref="K231:L231"/>
    <mergeCell ref="D232:D233"/>
    <mergeCell ref="K232:L232"/>
    <mergeCell ref="K233:L233"/>
    <mergeCell ref="A224:A225"/>
    <mergeCell ref="B224:B225"/>
    <mergeCell ref="C224:C225"/>
    <mergeCell ref="D224:D225"/>
    <mergeCell ref="K224:L224"/>
    <mergeCell ref="K225:L225"/>
    <mergeCell ref="D217:D218"/>
    <mergeCell ref="K217:L217"/>
    <mergeCell ref="K218:L218"/>
    <mergeCell ref="D219:D220"/>
    <mergeCell ref="K219:L219"/>
    <mergeCell ref="K220:L220"/>
    <mergeCell ref="K222:L222"/>
    <mergeCell ref="D221:D223"/>
    <mergeCell ref="K221:L221"/>
    <mergeCell ref="K223:L223"/>
    <mergeCell ref="O205:P205"/>
    <mergeCell ref="K206:L206"/>
    <mergeCell ref="O206:P206"/>
    <mergeCell ref="K207:L207"/>
    <mergeCell ref="O207:P207"/>
    <mergeCell ref="K197:L197"/>
    <mergeCell ref="D199:D200"/>
    <mergeCell ref="K199:L199"/>
    <mergeCell ref="D201:D202"/>
    <mergeCell ref="K201:L201"/>
    <mergeCell ref="D197:D198"/>
    <mergeCell ref="K176:L176"/>
    <mergeCell ref="C177:C178"/>
    <mergeCell ref="D177:D178"/>
    <mergeCell ref="K177:L177"/>
    <mergeCell ref="K178:L178"/>
    <mergeCell ref="Q166:R166"/>
    <mergeCell ref="C167:C168"/>
    <mergeCell ref="D168:D169"/>
    <mergeCell ref="H168:I168"/>
    <mergeCell ref="C170:C171"/>
    <mergeCell ref="D171:D172"/>
    <mergeCell ref="H171:I171"/>
    <mergeCell ref="C161:C162"/>
    <mergeCell ref="D162:D163"/>
    <mergeCell ref="K162:L162"/>
    <mergeCell ref="C164:C165"/>
    <mergeCell ref="H165:I165"/>
    <mergeCell ref="K166:L166"/>
    <mergeCell ref="D155:D156"/>
    <mergeCell ref="K156:L156"/>
    <mergeCell ref="C158:C159"/>
    <mergeCell ref="D159:D160"/>
    <mergeCell ref="K159:L159"/>
    <mergeCell ref="K160:L160"/>
    <mergeCell ref="A152:A153"/>
    <mergeCell ref="B152:B153"/>
    <mergeCell ref="C152:C153"/>
    <mergeCell ref="D153:D154"/>
    <mergeCell ref="K153:L153"/>
    <mergeCell ref="M153:N153"/>
    <mergeCell ref="C146:C147"/>
    <mergeCell ref="D147:D148"/>
    <mergeCell ref="H147:I147"/>
    <mergeCell ref="C149:C150"/>
    <mergeCell ref="D150:D151"/>
    <mergeCell ref="H150:S150"/>
    <mergeCell ref="K151:L151"/>
    <mergeCell ref="Q151:R151"/>
    <mergeCell ref="C140:C141"/>
    <mergeCell ref="K141:L141"/>
    <mergeCell ref="M141:N141"/>
    <mergeCell ref="C143:C144"/>
    <mergeCell ref="D144:D145"/>
    <mergeCell ref="H144:I144"/>
    <mergeCell ref="K135:L135"/>
    <mergeCell ref="K136:L136"/>
    <mergeCell ref="C137:C138"/>
    <mergeCell ref="K138:L138"/>
    <mergeCell ref="M138:N138"/>
    <mergeCell ref="K139:L139"/>
    <mergeCell ref="M139:N139"/>
    <mergeCell ref="K132:L132"/>
    <mergeCell ref="C133:C134"/>
    <mergeCell ref="K134:L134"/>
    <mergeCell ref="K122:L122"/>
    <mergeCell ref="K123:L123"/>
    <mergeCell ref="D124:D125"/>
    <mergeCell ref="I124:R124"/>
    <mergeCell ref="I125:R125"/>
    <mergeCell ref="C126:C127"/>
    <mergeCell ref="D127:D128"/>
    <mergeCell ref="K127:L127"/>
    <mergeCell ref="K128:L128"/>
    <mergeCell ref="K121:L121"/>
    <mergeCell ref="O121:P121"/>
    <mergeCell ref="Q121:R121"/>
    <mergeCell ref="K112:L112"/>
    <mergeCell ref="K115:L115"/>
    <mergeCell ref="K119:L119"/>
    <mergeCell ref="K129:L129"/>
    <mergeCell ref="K130:L130"/>
    <mergeCell ref="K131:L131"/>
    <mergeCell ref="K108:L108"/>
    <mergeCell ref="K109:L109"/>
    <mergeCell ref="K110:L110"/>
    <mergeCell ref="K113:L113"/>
    <mergeCell ref="O119:P119"/>
    <mergeCell ref="Q119:R119"/>
    <mergeCell ref="K120:L120"/>
    <mergeCell ref="O120:P120"/>
    <mergeCell ref="Q120:R120"/>
    <mergeCell ref="A93:A94"/>
    <mergeCell ref="B94:B95"/>
    <mergeCell ref="C95:C96"/>
    <mergeCell ref="D96:D97"/>
    <mergeCell ref="C98:C99"/>
    <mergeCell ref="D99:D100"/>
    <mergeCell ref="A116:A117"/>
    <mergeCell ref="C118:C119"/>
    <mergeCell ref="D119:D120"/>
    <mergeCell ref="A108:A109"/>
    <mergeCell ref="B108:B109"/>
    <mergeCell ref="C108:C110"/>
    <mergeCell ref="D108:D110"/>
    <mergeCell ref="A74:A75"/>
    <mergeCell ref="B74:B75"/>
    <mergeCell ref="C74:C75"/>
    <mergeCell ref="D75:D76"/>
    <mergeCell ref="K75:L75"/>
    <mergeCell ref="K76:L76"/>
    <mergeCell ref="K91:L91"/>
    <mergeCell ref="K92:L92"/>
    <mergeCell ref="M92:N92"/>
    <mergeCell ref="C86:C87"/>
    <mergeCell ref="D87:D88"/>
    <mergeCell ref="K87:L87"/>
    <mergeCell ref="K88:L88"/>
    <mergeCell ref="K82:L82"/>
    <mergeCell ref="K83:L83"/>
    <mergeCell ref="K84:L84"/>
    <mergeCell ref="M84:N84"/>
    <mergeCell ref="M85:N85"/>
    <mergeCell ref="K67:L67"/>
    <mergeCell ref="K68:L68"/>
    <mergeCell ref="K114:L114"/>
    <mergeCell ref="K69:L69"/>
    <mergeCell ref="K73:L73"/>
    <mergeCell ref="C62:C64"/>
    <mergeCell ref="D63:D64"/>
    <mergeCell ref="K64:L64"/>
    <mergeCell ref="K65:L65"/>
    <mergeCell ref="K66:L66"/>
    <mergeCell ref="K77:L77"/>
    <mergeCell ref="C78:C79"/>
    <mergeCell ref="D79:D80"/>
    <mergeCell ref="K79:L79"/>
    <mergeCell ref="K80:L80"/>
    <mergeCell ref="K81:L81"/>
    <mergeCell ref="K100:L100"/>
    <mergeCell ref="K101:L101"/>
    <mergeCell ref="K102:L102"/>
    <mergeCell ref="C103:C105"/>
    <mergeCell ref="D104:D105"/>
    <mergeCell ref="K104:L104"/>
    <mergeCell ref="K105:L105"/>
    <mergeCell ref="K107:L107"/>
    <mergeCell ref="K60:L60"/>
    <mergeCell ref="P60:Q60"/>
    <mergeCell ref="R60:S60"/>
    <mergeCell ref="K61:L61"/>
    <mergeCell ref="P61:Q61"/>
    <mergeCell ref="R61:S61"/>
    <mergeCell ref="K56:L56"/>
    <mergeCell ref="M56:N56"/>
    <mergeCell ref="R56:T56"/>
    <mergeCell ref="A57:A58"/>
    <mergeCell ref="K59:L59"/>
    <mergeCell ref="P59:Q59"/>
    <mergeCell ref="R59:S59"/>
    <mergeCell ref="C53:C54"/>
    <mergeCell ref="D54:D55"/>
    <mergeCell ref="K54:L54"/>
    <mergeCell ref="M54:N54"/>
    <mergeCell ref="K55:L55"/>
    <mergeCell ref="M55:N55"/>
    <mergeCell ref="B49:B50"/>
    <mergeCell ref="C50:C51"/>
    <mergeCell ref="D51:D52"/>
    <mergeCell ref="K51:L51"/>
    <mergeCell ref="P51:Q51"/>
    <mergeCell ref="R51:S51"/>
    <mergeCell ref="K52:L52"/>
    <mergeCell ref="M52:N52"/>
    <mergeCell ref="P46:Q46"/>
    <mergeCell ref="R46:S46"/>
    <mergeCell ref="K47:L47"/>
    <mergeCell ref="P47:Q47"/>
    <mergeCell ref="R47:S47"/>
    <mergeCell ref="K48:L48"/>
    <mergeCell ref="P48:Q48"/>
    <mergeCell ref="R48:S48"/>
    <mergeCell ref="R52:T52"/>
    <mergeCell ref="D40:D41"/>
    <mergeCell ref="I40:T40"/>
    <mergeCell ref="D42:D43"/>
    <mergeCell ref="I42:T42"/>
    <mergeCell ref="C44:C45"/>
    <mergeCell ref="D45:D48"/>
    <mergeCell ref="K45:L45"/>
    <mergeCell ref="P45:Q45"/>
    <mergeCell ref="R45:S45"/>
    <mergeCell ref="K46:L46"/>
    <mergeCell ref="C33:C35"/>
    <mergeCell ref="D34:D35"/>
    <mergeCell ref="I34:T34"/>
    <mergeCell ref="C36:C38"/>
    <mergeCell ref="D36:D37"/>
    <mergeCell ref="I36:T36"/>
    <mergeCell ref="D38:D39"/>
    <mergeCell ref="I38:T38"/>
    <mergeCell ref="D25:D26"/>
    <mergeCell ref="K25:L25"/>
    <mergeCell ref="P25:Q25"/>
    <mergeCell ref="C27:C28"/>
    <mergeCell ref="H28:T28"/>
    <mergeCell ref="C30:C32"/>
    <mergeCell ref="D31:D32"/>
    <mergeCell ref="I31:T31"/>
    <mergeCell ref="D21:D22"/>
    <mergeCell ref="K21:L21"/>
    <mergeCell ref="P21:Q21"/>
    <mergeCell ref="D23:D24"/>
    <mergeCell ref="K23:L23"/>
    <mergeCell ref="P23:Q23"/>
    <mergeCell ref="D17:D18"/>
    <mergeCell ref="I17:S17"/>
    <mergeCell ref="K18:L18"/>
    <mergeCell ref="M18:N18"/>
    <mergeCell ref="D19:D20"/>
    <mergeCell ref="K19:L19"/>
    <mergeCell ref="P19:Q19"/>
    <mergeCell ref="R19:S19"/>
    <mergeCell ref="D15:D16"/>
    <mergeCell ref="H15:V15"/>
    <mergeCell ref="K16:L16"/>
    <mergeCell ref="P16:Q16"/>
    <mergeCell ref="R16:S16"/>
    <mergeCell ref="D13:D14"/>
    <mergeCell ref="W13:X13"/>
    <mergeCell ref="C10:C11"/>
    <mergeCell ref="D11:D12"/>
    <mergeCell ref="H11:V11"/>
    <mergeCell ref="J12:N12"/>
    <mergeCell ref="P12:Q12"/>
    <mergeCell ref="A1:X1"/>
    <mergeCell ref="A2:C2"/>
    <mergeCell ref="H3:X3"/>
    <mergeCell ref="A4:D4"/>
    <mergeCell ref="H7:I7"/>
    <mergeCell ref="V8:X8"/>
    <mergeCell ref="K63:L63"/>
    <mergeCell ref="K99:L99"/>
    <mergeCell ref="M112:N112"/>
    <mergeCell ref="K155:L155"/>
  </mergeCells>
  <printOptions/>
  <pageMargins left="0.4330708661417323" right="0.35433070866141736" top="0.4330708661417323" bottom="0.3937007874015748" header="0.4724409448818898" footer="0.2755905511811024"/>
  <pageSetup horizontalDpi="600" verticalDpi="600" orientation="landscape" paperSize="9" scale="77" r:id="rId3"/>
  <rowBreaks count="7" manualBreakCount="7">
    <brk id="35" max="16383" man="1"/>
    <brk id="73" max="16383" man="1"/>
    <brk id="107" max="16383" man="1"/>
    <brk id="151" max="16383" man="1"/>
    <brk id="192" max="16383" man="1"/>
    <brk id="223" max="16383" man="1"/>
    <brk id="257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view="pageBreakPreview" zoomScale="80" zoomScaleSheetLayoutView="80" workbookViewId="0" topLeftCell="A1">
      <selection activeCell="J14" sqref="J14"/>
    </sheetView>
  </sheetViews>
  <sheetFormatPr defaultColWidth="8.88671875" defaultRowHeight="13.5"/>
  <cols>
    <col min="1" max="1" width="6.21484375" style="0" customWidth="1"/>
    <col min="2" max="2" width="10.4453125" style="0" customWidth="1"/>
    <col min="3" max="3" width="6.10546875" style="0" customWidth="1"/>
    <col min="4" max="4" width="10.88671875" style="0" customWidth="1"/>
    <col min="5" max="5" width="12.3359375" style="0" customWidth="1"/>
    <col min="6" max="6" width="6.10546875" style="0" customWidth="1"/>
    <col min="7" max="7" width="15.77734375" style="0" customWidth="1"/>
    <col min="8" max="8" width="15.6640625" style="0" customWidth="1"/>
    <col min="9" max="9" width="12.88671875" style="0" customWidth="1"/>
    <col min="10" max="10" width="14.3359375" style="0" customWidth="1"/>
    <col min="11" max="11" width="12.77734375" style="0" customWidth="1"/>
    <col min="12" max="12" width="12.99609375" style="0" customWidth="1"/>
    <col min="13" max="13" width="11.88671875" style="0" customWidth="1"/>
    <col min="14" max="14" width="18.21484375" style="0" customWidth="1"/>
    <col min="15" max="16" width="17.10546875" style="0" customWidth="1"/>
    <col min="17" max="17" width="7.77734375" style="0" customWidth="1"/>
    <col min="18" max="18" width="14.88671875" style="0" customWidth="1"/>
    <col min="19" max="19" width="10.5546875" style="0" customWidth="1"/>
    <col min="20" max="20" width="7.5546875" style="0" customWidth="1"/>
    <col min="21" max="21" width="13.3359375" style="0" customWidth="1"/>
    <col min="22" max="22" width="12.3359375" style="0" customWidth="1"/>
    <col min="23" max="23" width="11.5546875" style="0" customWidth="1"/>
    <col min="24" max="24" width="12.5546875" style="0" customWidth="1"/>
    <col min="25" max="25" width="12.21484375" style="0" customWidth="1"/>
    <col min="26" max="27" width="10.88671875" style="0" customWidth="1"/>
    <col min="28" max="28" width="15.77734375" style="0" customWidth="1"/>
    <col min="29" max="29" width="18.88671875" style="0" customWidth="1"/>
    <col min="30" max="30" width="12.6640625" style="0" bestFit="1" customWidth="1"/>
  </cols>
  <sheetData>
    <row r="1" spans="1:29" ht="38.25" customHeight="1" thickBot="1">
      <c r="A1" s="1193" t="s">
        <v>242</v>
      </c>
      <c r="B1" s="1193"/>
      <c r="C1" s="1193"/>
      <c r="D1" s="1193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375"/>
      <c r="P1" s="383"/>
      <c r="Q1" s="1193" t="s">
        <v>159</v>
      </c>
      <c r="R1" s="1193"/>
      <c r="S1" s="1193"/>
      <c r="T1" s="1193"/>
      <c r="U1" s="1193"/>
      <c r="V1" s="1193"/>
      <c r="W1" s="1193"/>
      <c r="X1" s="1193"/>
      <c r="Y1" s="1193"/>
      <c r="Z1" s="1193"/>
      <c r="AA1" s="1193"/>
      <c r="AB1" s="1193"/>
      <c r="AC1" s="1193"/>
    </row>
    <row r="2" spans="1:29" ht="34.5" customHeight="1">
      <c r="A2" s="23" t="s">
        <v>160</v>
      </c>
      <c r="B2" s="24" t="s">
        <v>161</v>
      </c>
      <c r="C2" s="24" t="s">
        <v>162</v>
      </c>
      <c r="D2" s="28" t="s">
        <v>163</v>
      </c>
      <c r="E2" s="46" t="s">
        <v>164</v>
      </c>
      <c r="F2" s="24" t="s">
        <v>165</v>
      </c>
      <c r="G2" s="31" t="s">
        <v>166</v>
      </c>
      <c r="H2" s="24" t="s">
        <v>167</v>
      </c>
      <c r="I2" s="24" t="s">
        <v>168</v>
      </c>
      <c r="J2" s="24" t="s">
        <v>169</v>
      </c>
      <c r="K2" s="24" t="s">
        <v>170</v>
      </c>
      <c r="L2" s="24" t="s">
        <v>171</v>
      </c>
      <c r="M2" s="24" t="s">
        <v>172</v>
      </c>
      <c r="N2" s="151" t="s">
        <v>173</v>
      </c>
      <c r="O2" s="299"/>
      <c r="P2" s="409"/>
      <c r="Q2" s="23" t="s">
        <v>160</v>
      </c>
      <c r="R2" s="24" t="s">
        <v>161</v>
      </c>
      <c r="S2" s="24" t="s">
        <v>162</v>
      </c>
      <c r="T2" s="24" t="s">
        <v>163</v>
      </c>
      <c r="U2" s="29" t="s">
        <v>174</v>
      </c>
      <c r="V2" s="29" t="s">
        <v>175</v>
      </c>
      <c r="W2" s="29" t="s">
        <v>176</v>
      </c>
      <c r="X2" s="29" t="s">
        <v>177</v>
      </c>
      <c r="Y2" s="29" t="s">
        <v>178</v>
      </c>
      <c r="Z2" s="29" t="s">
        <v>179</v>
      </c>
      <c r="AA2" s="29" t="s">
        <v>180</v>
      </c>
      <c r="AB2" s="29" t="s">
        <v>181</v>
      </c>
      <c r="AC2" s="43" t="s">
        <v>182</v>
      </c>
    </row>
    <row r="3" spans="1:31" ht="34.5" customHeight="1">
      <c r="A3" s="421">
        <v>1</v>
      </c>
      <c r="B3" s="417" t="s">
        <v>183</v>
      </c>
      <c r="C3" s="411" t="s">
        <v>184</v>
      </c>
      <c r="D3" s="30">
        <v>10</v>
      </c>
      <c r="E3" s="150">
        <v>2984000</v>
      </c>
      <c r="F3" s="16">
        <v>7</v>
      </c>
      <c r="G3" s="32">
        <f>E3*F3</f>
        <v>20888000</v>
      </c>
      <c r="H3" s="16">
        <f>E3*1.2</f>
        <v>3580800</v>
      </c>
      <c r="I3" s="16">
        <f>200000*F3</f>
        <v>1400000</v>
      </c>
      <c r="J3" s="16">
        <f aca="true" t="shared" si="0" ref="J3:J8">ROUNDDOWN((G3*35/209*1.5),-1)</f>
        <v>5246980</v>
      </c>
      <c r="K3" s="16">
        <f>F3*40000</f>
        <v>280000</v>
      </c>
      <c r="L3" s="16">
        <f aca="true" t="shared" si="1" ref="L3:L41">100000*F3</f>
        <v>700000</v>
      </c>
      <c r="M3" s="16">
        <f aca="true" t="shared" si="2" ref="M3:M30">40000*F3</f>
        <v>280000</v>
      </c>
      <c r="N3" s="152">
        <f aca="true" t="shared" si="3" ref="N3:N41">SUM(G3:M3)</f>
        <v>32375780</v>
      </c>
      <c r="O3" s="300">
        <f>N3+N4</f>
        <v>53594240</v>
      </c>
      <c r="P3" s="410">
        <f>SUM(H3:M3)</f>
        <v>11487780</v>
      </c>
      <c r="Q3" s="411" t="s">
        <v>249</v>
      </c>
      <c r="R3" s="411" t="s">
        <v>183</v>
      </c>
      <c r="S3" s="411" t="str">
        <f>Q3</f>
        <v>박세혁</v>
      </c>
      <c r="T3" s="30">
        <v>9</v>
      </c>
      <c r="U3" s="21">
        <f>O3/AE3</f>
        <v>4466186.666666667</v>
      </c>
      <c r="V3" s="21">
        <f aca="true" t="shared" si="4" ref="V3:V10">ROUNDDOWN((U3*$E$46),-1)</f>
        <v>131750</v>
      </c>
      <c r="W3" s="21">
        <f aca="true" t="shared" si="5" ref="W3:W10">ROUNDDOWN((V3*$E$47),-1)</f>
        <v>8620</v>
      </c>
      <c r="X3" s="21">
        <f aca="true" t="shared" si="6" ref="X3:X10">ROUNDDOWN((U3*$E$48),-1)</f>
        <v>200970</v>
      </c>
      <c r="Y3" s="21">
        <f>ROUNDDOWN((U3*4.5%/10),-1)</f>
        <v>20090</v>
      </c>
      <c r="Z3" s="21">
        <v>40000</v>
      </c>
      <c r="AA3" s="21">
        <f>ROUNDDOWN((U3*0.01),-1)</f>
        <v>44660</v>
      </c>
      <c r="AB3" s="21">
        <f>SUM(V3:AA3)</f>
        <v>446090</v>
      </c>
      <c r="AC3" s="45">
        <f>U3-AB3</f>
        <v>4020096.666666667</v>
      </c>
      <c r="AD3" s="210">
        <f>AB3*AE3</f>
        <v>5353080</v>
      </c>
      <c r="AE3">
        <v>12</v>
      </c>
    </row>
    <row r="4" spans="1:31" ht="34.5" customHeight="1">
      <c r="A4" s="422"/>
      <c r="B4" s="418"/>
      <c r="C4" s="412"/>
      <c r="D4" s="30">
        <v>11</v>
      </c>
      <c r="E4" s="150">
        <v>3088000</v>
      </c>
      <c r="F4" s="16">
        <v>5</v>
      </c>
      <c r="G4" s="32">
        <f aca="true" t="shared" si="7" ref="G4:G41">E4*F4</f>
        <v>15440000</v>
      </c>
      <c r="H4" s="16"/>
      <c r="I4" s="16">
        <f>200000*F4</f>
        <v>1000000</v>
      </c>
      <c r="J4" s="16">
        <f t="shared" si="0"/>
        <v>3878460</v>
      </c>
      <c r="K4" s="16">
        <f>F4*40000</f>
        <v>200000</v>
      </c>
      <c r="L4" s="16">
        <f t="shared" si="1"/>
        <v>500000</v>
      </c>
      <c r="M4" s="16">
        <f t="shared" si="2"/>
        <v>200000</v>
      </c>
      <c r="N4" s="152">
        <f t="shared" si="3"/>
        <v>21218460</v>
      </c>
      <c r="O4" s="300"/>
      <c r="P4" s="410">
        <f aca="true" t="shared" si="8" ref="P4:P41">SUM(H4:M4)</f>
        <v>5778460</v>
      </c>
      <c r="Q4" s="412"/>
      <c r="R4" s="412"/>
      <c r="S4" s="411">
        <f aca="true" t="shared" si="9" ref="S4:S41">Q4</f>
        <v>0</v>
      </c>
      <c r="T4" s="30">
        <v>10</v>
      </c>
      <c r="U4" s="21">
        <f aca="true" t="shared" si="10" ref="U4:U41">O4/AE4</f>
        <v>0</v>
      </c>
      <c r="V4" s="21">
        <f t="shared" si="4"/>
        <v>0</v>
      </c>
      <c r="W4" s="21">
        <f t="shared" si="5"/>
        <v>0</v>
      </c>
      <c r="X4" s="21">
        <f t="shared" si="6"/>
        <v>0</v>
      </c>
      <c r="Y4" s="21"/>
      <c r="Z4" s="21"/>
      <c r="AA4" s="21"/>
      <c r="AB4" s="21"/>
      <c r="AC4" s="45"/>
      <c r="AD4" s="210">
        <f aca="true" t="shared" si="11" ref="AD4:AD41">AB4*AE4</f>
        <v>0</v>
      </c>
      <c r="AE4">
        <v>12</v>
      </c>
    </row>
    <row r="5" spans="1:31" ht="34.5" customHeight="1">
      <c r="A5" s="421">
        <v>2</v>
      </c>
      <c r="B5" s="417" t="s">
        <v>250</v>
      </c>
      <c r="C5" s="411" t="s">
        <v>186</v>
      </c>
      <c r="D5" s="30">
        <v>15</v>
      </c>
      <c r="E5" s="150">
        <v>3076000</v>
      </c>
      <c r="F5" s="16">
        <v>3</v>
      </c>
      <c r="G5" s="32">
        <f t="shared" si="7"/>
        <v>9228000</v>
      </c>
      <c r="H5" s="16">
        <f aca="true" t="shared" si="12" ref="H5:H10">E5*0.6</f>
        <v>1845600</v>
      </c>
      <c r="I5" s="16">
        <f>100000*F5</f>
        <v>300000</v>
      </c>
      <c r="J5" s="16">
        <f t="shared" si="0"/>
        <v>2318030</v>
      </c>
      <c r="K5" s="16">
        <f>F5*80000</f>
        <v>240000</v>
      </c>
      <c r="L5" s="16">
        <f t="shared" si="1"/>
        <v>300000</v>
      </c>
      <c r="M5" s="16">
        <f t="shared" si="2"/>
        <v>120000</v>
      </c>
      <c r="N5" s="152">
        <f t="shared" si="3"/>
        <v>14351630</v>
      </c>
      <c r="O5" s="300">
        <f>N5+N6</f>
        <v>54450710</v>
      </c>
      <c r="P5" s="410">
        <f t="shared" si="8"/>
        <v>5123630</v>
      </c>
      <c r="Q5" s="411" t="s">
        <v>186</v>
      </c>
      <c r="R5" s="411" t="s">
        <v>185</v>
      </c>
      <c r="S5" s="411" t="str">
        <f t="shared" si="9"/>
        <v>김춘희</v>
      </c>
      <c r="T5" s="30">
        <v>14</v>
      </c>
      <c r="U5" s="21">
        <f t="shared" si="10"/>
        <v>4537559.166666667</v>
      </c>
      <c r="V5" s="21">
        <f t="shared" si="4"/>
        <v>133850</v>
      </c>
      <c r="W5" s="21">
        <f t="shared" si="5"/>
        <v>8760</v>
      </c>
      <c r="X5" s="21">
        <f t="shared" si="6"/>
        <v>204190</v>
      </c>
      <c r="Y5" s="21">
        <f>ROUNDDOWN((U5*4.5%/10),-1)</f>
        <v>20410</v>
      </c>
      <c r="Z5" s="21">
        <v>40000</v>
      </c>
      <c r="AA5" s="21">
        <f>ROUNDDOWN((U5*0.01),-1)</f>
        <v>45370</v>
      </c>
      <c r="AB5" s="21">
        <f>SUM(V5:AA5)</f>
        <v>452580</v>
      </c>
      <c r="AC5" s="45">
        <f>U5-AB5</f>
        <v>4084979.166666667</v>
      </c>
      <c r="AD5" s="210">
        <f t="shared" si="11"/>
        <v>5430960</v>
      </c>
      <c r="AE5">
        <v>12</v>
      </c>
    </row>
    <row r="6" spans="1:31" ht="34.5" customHeight="1">
      <c r="A6" s="422"/>
      <c r="B6" s="418"/>
      <c r="C6" s="412"/>
      <c r="D6" s="30">
        <v>16</v>
      </c>
      <c r="E6" s="150">
        <v>3138000</v>
      </c>
      <c r="F6" s="16">
        <v>9</v>
      </c>
      <c r="G6" s="32">
        <f t="shared" si="7"/>
        <v>28242000</v>
      </c>
      <c r="H6" s="16">
        <f t="shared" si="12"/>
        <v>1882800</v>
      </c>
      <c r="I6" s="16">
        <f>100000*F6</f>
        <v>900000</v>
      </c>
      <c r="J6" s="16">
        <f t="shared" si="0"/>
        <v>7094280</v>
      </c>
      <c r="K6" s="16">
        <f>F6*80000</f>
        <v>720000</v>
      </c>
      <c r="L6" s="16">
        <f t="shared" si="1"/>
        <v>900000</v>
      </c>
      <c r="M6" s="16">
        <f t="shared" si="2"/>
        <v>360000</v>
      </c>
      <c r="N6" s="152">
        <f t="shared" si="3"/>
        <v>40099080</v>
      </c>
      <c r="O6" s="300"/>
      <c r="P6" s="410">
        <f t="shared" si="8"/>
        <v>11857080</v>
      </c>
      <c r="Q6" s="412"/>
      <c r="R6" s="412"/>
      <c r="S6" s="411">
        <f t="shared" si="9"/>
        <v>0</v>
      </c>
      <c r="T6" s="30">
        <v>15</v>
      </c>
      <c r="U6" s="21">
        <f t="shared" si="10"/>
        <v>0</v>
      </c>
      <c r="V6" s="21">
        <f t="shared" si="4"/>
        <v>0</v>
      </c>
      <c r="W6" s="21">
        <f t="shared" si="5"/>
        <v>0</v>
      </c>
      <c r="X6" s="21">
        <f t="shared" si="6"/>
        <v>0</v>
      </c>
      <c r="Y6" s="21"/>
      <c r="Z6" s="21"/>
      <c r="AA6" s="21"/>
      <c r="AB6" s="21"/>
      <c r="AC6" s="45"/>
      <c r="AD6" s="210">
        <f t="shared" si="11"/>
        <v>0</v>
      </c>
      <c r="AE6">
        <v>12</v>
      </c>
    </row>
    <row r="7" spans="1:31" ht="34.5" customHeight="1">
      <c r="A7" s="421">
        <v>3</v>
      </c>
      <c r="B7" s="417" t="s">
        <v>185</v>
      </c>
      <c r="C7" s="413" t="s">
        <v>187</v>
      </c>
      <c r="D7" s="233">
        <v>8</v>
      </c>
      <c r="E7" s="234">
        <v>2260000</v>
      </c>
      <c r="F7" s="235">
        <v>8</v>
      </c>
      <c r="G7" s="236">
        <f t="shared" si="7"/>
        <v>18080000</v>
      </c>
      <c r="H7" s="16">
        <f>E7*1.2</f>
        <v>2712000</v>
      </c>
      <c r="I7" s="235"/>
      <c r="J7" s="16">
        <f t="shared" si="0"/>
        <v>4541620</v>
      </c>
      <c r="K7" s="16">
        <f>F7*60000</f>
        <v>480000</v>
      </c>
      <c r="L7" s="16">
        <f t="shared" si="1"/>
        <v>800000</v>
      </c>
      <c r="M7" s="235">
        <f t="shared" si="2"/>
        <v>320000</v>
      </c>
      <c r="N7" s="237">
        <f t="shared" si="3"/>
        <v>26933620</v>
      </c>
      <c r="O7" s="300">
        <f>N7+N8</f>
        <v>39504870</v>
      </c>
      <c r="P7" s="410">
        <f t="shared" si="8"/>
        <v>8853620</v>
      </c>
      <c r="Q7" s="413" t="s">
        <v>187</v>
      </c>
      <c r="R7" s="411" t="s">
        <v>185</v>
      </c>
      <c r="S7" s="411" t="str">
        <f t="shared" si="9"/>
        <v>전상현</v>
      </c>
      <c r="T7" s="233">
        <v>7</v>
      </c>
      <c r="U7" s="21">
        <f t="shared" si="10"/>
        <v>3292072.5</v>
      </c>
      <c r="V7" s="21">
        <f t="shared" si="4"/>
        <v>97110</v>
      </c>
      <c r="W7" s="21">
        <f t="shared" si="5"/>
        <v>6360</v>
      </c>
      <c r="X7" s="21">
        <f t="shared" si="6"/>
        <v>148140</v>
      </c>
      <c r="Y7" s="21">
        <f aca="true" t="shared" si="13" ref="Y7:Y13">ROUNDDOWN((U7*4.5%/10),-1)</f>
        <v>14810</v>
      </c>
      <c r="Z7" s="21">
        <v>40000</v>
      </c>
      <c r="AA7" s="21">
        <f>ROUNDDOWN((U7*0.01),-1)</f>
        <v>32920</v>
      </c>
      <c r="AB7" s="21">
        <f>SUM(V7:AA7)</f>
        <v>339340</v>
      </c>
      <c r="AC7" s="45">
        <f>U7-AB7</f>
        <v>2952732.5</v>
      </c>
      <c r="AD7" s="210">
        <f t="shared" si="11"/>
        <v>4072080</v>
      </c>
      <c r="AE7">
        <v>12</v>
      </c>
    </row>
    <row r="8" spans="1:31" ht="34.5" customHeight="1">
      <c r="A8" s="422"/>
      <c r="B8" s="418"/>
      <c r="C8" s="414"/>
      <c r="D8" s="233">
        <v>9</v>
      </c>
      <c r="E8" s="234">
        <v>2352000</v>
      </c>
      <c r="F8" s="235">
        <v>4</v>
      </c>
      <c r="G8" s="236">
        <f t="shared" si="7"/>
        <v>9408000</v>
      </c>
      <c r="H8" s="16"/>
      <c r="I8" s="235"/>
      <c r="J8" s="16">
        <f t="shared" si="0"/>
        <v>2363250</v>
      </c>
      <c r="K8" s="16">
        <f>F8*60000</f>
        <v>240000</v>
      </c>
      <c r="L8" s="16">
        <f t="shared" si="1"/>
        <v>400000</v>
      </c>
      <c r="M8" s="235">
        <f t="shared" si="2"/>
        <v>160000</v>
      </c>
      <c r="N8" s="237">
        <f t="shared" si="3"/>
        <v>12571250</v>
      </c>
      <c r="O8" s="300"/>
      <c r="P8" s="410">
        <f t="shared" si="8"/>
        <v>3163250</v>
      </c>
      <c r="Q8" s="414"/>
      <c r="R8" s="412"/>
      <c r="S8" s="411">
        <f t="shared" si="9"/>
        <v>0</v>
      </c>
      <c r="T8" s="233">
        <v>8</v>
      </c>
      <c r="U8" s="21">
        <f t="shared" si="10"/>
        <v>0</v>
      </c>
      <c r="V8" s="21">
        <f t="shared" si="4"/>
        <v>0</v>
      </c>
      <c r="W8" s="21">
        <f t="shared" si="5"/>
        <v>0</v>
      </c>
      <c r="X8" s="21">
        <f t="shared" si="6"/>
        <v>0</v>
      </c>
      <c r="Y8" s="21">
        <f t="shared" si="13"/>
        <v>0</v>
      </c>
      <c r="Z8" s="21"/>
      <c r="AA8" s="21"/>
      <c r="AB8" s="21"/>
      <c r="AC8" s="45"/>
      <c r="AD8" s="210">
        <f t="shared" si="11"/>
        <v>0</v>
      </c>
      <c r="AE8">
        <v>12</v>
      </c>
    </row>
    <row r="9" spans="1:31" ht="34.5" customHeight="1">
      <c r="A9" s="392">
        <v>4</v>
      </c>
      <c r="B9" s="393" t="s">
        <v>188</v>
      </c>
      <c r="C9" s="394" t="s">
        <v>189</v>
      </c>
      <c r="D9" s="239">
        <v>4</v>
      </c>
      <c r="E9" s="240">
        <v>1704000</v>
      </c>
      <c r="F9" s="238">
        <v>6</v>
      </c>
      <c r="G9" s="241">
        <f t="shared" si="7"/>
        <v>10224000</v>
      </c>
      <c r="H9" s="238">
        <f t="shared" si="12"/>
        <v>1022400</v>
      </c>
      <c r="I9" s="238"/>
      <c r="J9" s="238">
        <f>ROUNDDOWN((G9*55/209*1.5),-1)</f>
        <v>4035780</v>
      </c>
      <c r="K9" s="238">
        <f>F9*40000</f>
        <v>240000</v>
      </c>
      <c r="L9" s="238">
        <f t="shared" si="1"/>
        <v>600000</v>
      </c>
      <c r="M9" s="238">
        <f t="shared" si="2"/>
        <v>240000</v>
      </c>
      <c r="N9" s="260">
        <f t="shared" si="3"/>
        <v>16362180</v>
      </c>
      <c r="O9" s="300">
        <f>N9+N10</f>
        <v>33181750</v>
      </c>
      <c r="P9" s="410">
        <f t="shared" si="8"/>
        <v>6138180</v>
      </c>
      <c r="Q9" s="394" t="s">
        <v>189</v>
      </c>
      <c r="R9" s="394" t="s">
        <v>188</v>
      </c>
      <c r="S9" s="411" t="str">
        <f t="shared" si="9"/>
        <v>이원영</v>
      </c>
      <c r="T9" s="239">
        <v>3</v>
      </c>
      <c r="U9" s="21">
        <f t="shared" si="10"/>
        <v>2765145.8333333335</v>
      </c>
      <c r="V9" s="21">
        <f t="shared" si="4"/>
        <v>81570</v>
      </c>
      <c r="W9" s="21">
        <f t="shared" si="5"/>
        <v>5340</v>
      </c>
      <c r="X9" s="21">
        <f t="shared" si="6"/>
        <v>124430</v>
      </c>
      <c r="Y9" s="21">
        <f t="shared" si="13"/>
        <v>12440</v>
      </c>
      <c r="Z9" s="21">
        <v>40000</v>
      </c>
      <c r="AA9" s="21">
        <f>ROUNDDOWN((U9*0.01),-1)</f>
        <v>27650</v>
      </c>
      <c r="AB9" s="21">
        <f>SUM(V9:AA9)</f>
        <v>291430</v>
      </c>
      <c r="AC9" s="45">
        <f>U9-AB9</f>
        <v>2473715.8333333335</v>
      </c>
      <c r="AD9" s="210">
        <f t="shared" si="11"/>
        <v>3497160</v>
      </c>
      <c r="AE9">
        <v>12</v>
      </c>
    </row>
    <row r="10" spans="1:31" ht="34.5" customHeight="1">
      <c r="A10" s="396"/>
      <c r="B10" s="397"/>
      <c r="C10" s="395"/>
      <c r="D10" s="239">
        <v>5</v>
      </c>
      <c r="E10" s="240">
        <v>1755000</v>
      </c>
      <c r="F10" s="238">
        <v>6</v>
      </c>
      <c r="G10" s="241">
        <f t="shared" si="7"/>
        <v>10530000</v>
      </c>
      <c r="H10" s="238">
        <f t="shared" si="12"/>
        <v>1053000</v>
      </c>
      <c r="I10" s="238"/>
      <c r="J10" s="238">
        <f aca="true" t="shared" si="14" ref="J10:J27">ROUNDDOWN((G10*55/209*1.5),-1)</f>
        <v>4156570</v>
      </c>
      <c r="K10" s="238">
        <f>F10*40000</f>
        <v>240000</v>
      </c>
      <c r="L10" s="238">
        <f t="shared" si="1"/>
        <v>600000</v>
      </c>
      <c r="M10" s="238">
        <f t="shared" si="2"/>
        <v>240000</v>
      </c>
      <c r="N10" s="260">
        <f t="shared" si="3"/>
        <v>16819570</v>
      </c>
      <c r="O10" s="508"/>
      <c r="P10" s="410">
        <f t="shared" si="8"/>
        <v>6289570</v>
      </c>
      <c r="Q10" s="395"/>
      <c r="R10" s="395"/>
      <c r="S10" s="411">
        <f t="shared" si="9"/>
        <v>0</v>
      </c>
      <c r="T10" s="239">
        <v>4</v>
      </c>
      <c r="U10" s="21">
        <f t="shared" si="10"/>
        <v>0</v>
      </c>
      <c r="V10" s="21">
        <f t="shared" si="4"/>
        <v>0</v>
      </c>
      <c r="W10" s="21">
        <f t="shared" si="5"/>
        <v>0</v>
      </c>
      <c r="X10" s="21">
        <f t="shared" si="6"/>
        <v>0</v>
      </c>
      <c r="Y10" s="21">
        <f t="shared" si="13"/>
        <v>0</v>
      </c>
      <c r="AA10" s="21">
        <f>ROUNDDOWN((U10*0.01),-1)</f>
        <v>0</v>
      </c>
      <c r="AB10" s="21">
        <f>SUM(V10:AA10)</f>
        <v>0</v>
      </c>
      <c r="AC10" s="45"/>
      <c r="AD10" s="210">
        <f t="shared" si="11"/>
        <v>0</v>
      </c>
      <c r="AE10">
        <v>12</v>
      </c>
    </row>
    <row r="11" spans="1:31" ht="34.5" customHeight="1">
      <c r="A11" s="1245">
        <v>5</v>
      </c>
      <c r="B11" s="1241" t="s">
        <v>188</v>
      </c>
      <c r="C11" s="1243" t="s">
        <v>190</v>
      </c>
      <c r="D11" s="239">
        <v>11</v>
      </c>
      <c r="E11" s="240">
        <v>2134000</v>
      </c>
      <c r="F11" s="238">
        <v>10</v>
      </c>
      <c r="G11" s="241">
        <f>E11*F11</f>
        <v>21340000</v>
      </c>
      <c r="H11" s="238">
        <f>E11*1.2</f>
        <v>2560800</v>
      </c>
      <c r="I11" s="238"/>
      <c r="J11" s="238">
        <f>ROUNDDOWN((G11*55/209*1.5),-1)</f>
        <v>8423680</v>
      </c>
      <c r="K11" s="238">
        <f>F11*80000</f>
        <v>800000</v>
      </c>
      <c r="L11" s="238">
        <f>100000*F11</f>
        <v>1000000</v>
      </c>
      <c r="M11" s="238">
        <f>40000*F11</f>
        <v>400000</v>
      </c>
      <c r="N11" s="260">
        <f>SUM(G11:M11)</f>
        <v>34524480</v>
      </c>
      <c r="O11" s="300">
        <f>N11+N12</f>
        <v>41084580</v>
      </c>
      <c r="P11" s="410">
        <f>SUM(H11:M11)</f>
        <v>13184480</v>
      </c>
      <c r="Q11" s="519" t="s">
        <v>190</v>
      </c>
      <c r="R11" s="519" t="s">
        <v>188</v>
      </c>
      <c r="S11" s="411" t="str">
        <f>Q11</f>
        <v>김계주</v>
      </c>
      <c r="T11" s="239">
        <v>10</v>
      </c>
      <c r="U11" s="21">
        <f>O11/AE11</f>
        <v>3423715</v>
      </c>
      <c r="V11" s="21">
        <f>ROUNDDOWN((U11*$E$46),-1)</f>
        <v>100990</v>
      </c>
      <c r="W11" s="21">
        <f>ROUNDDOWN((V11*$E$47),-1)</f>
        <v>6610</v>
      </c>
      <c r="X11" s="21">
        <f>ROUNDDOWN((U11*$E$48),-1)</f>
        <v>154060</v>
      </c>
      <c r="Y11" s="21">
        <f t="shared" si="13"/>
        <v>15400</v>
      </c>
      <c r="Z11" s="21">
        <v>40000</v>
      </c>
      <c r="AA11" s="21">
        <f>ROUNDDOWN((U11*0.01),-1)</f>
        <v>34230</v>
      </c>
      <c r="AB11" s="21">
        <f>SUM(V11:AA11)</f>
        <v>351290</v>
      </c>
      <c r="AC11" s="45">
        <f>U11-AB11</f>
        <v>3072425</v>
      </c>
      <c r="AD11" s="210">
        <f t="shared" si="11"/>
        <v>4215480</v>
      </c>
      <c r="AE11">
        <v>12</v>
      </c>
    </row>
    <row r="12" spans="1:31" ht="34.5" customHeight="1">
      <c r="A12" s="1246"/>
      <c r="B12" s="1242"/>
      <c r="C12" s="1244"/>
      <c r="D12" s="239">
        <v>12</v>
      </c>
      <c r="E12" s="240">
        <v>2194000</v>
      </c>
      <c r="F12" s="238">
        <v>2</v>
      </c>
      <c r="G12" s="241">
        <f t="shared" si="7"/>
        <v>4388000</v>
      </c>
      <c r="H12" s="238"/>
      <c r="I12" s="238"/>
      <c r="J12" s="238">
        <f t="shared" si="14"/>
        <v>1732100</v>
      </c>
      <c r="K12" s="238">
        <f>F12*80000</f>
        <v>160000</v>
      </c>
      <c r="L12" s="238">
        <f t="shared" si="1"/>
        <v>200000</v>
      </c>
      <c r="M12" s="238">
        <f t="shared" si="2"/>
        <v>80000</v>
      </c>
      <c r="N12" s="260">
        <f t="shared" si="3"/>
        <v>6560100</v>
      </c>
      <c r="O12" s="300"/>
      <c r="P12" s="410">
        <f t="shared" si="8"/>
        <v>2172100</v>
      </c>
      <c r="Q12" s="382" t="s">
        <v>190</v>
      </c>
      <c r="R12" s="382" t="s">
        <v>188</v>
      </c>
      <c r="S12" s="411" t="str">
        <f t="shared" si="9"/>
        <v>김계주</v>
      </c>
      <c r="T12" s="239">
        <v>10</v>
      </c>
      <c r="U12" s="21">
        <f t="shared" si="10"/>
        <v>0</v>
      </c>
      <c r="V12" s="21">
        <f aca="true" t="shared" si="15" ref="V12:V27">ROUNDDOWN((U12*$E$46),-1)</f>
        <v>0</v>
      </c>
      <c r="W12" s="21">
        <f aca="true" t="shared" si="16" ref="W12:W27">ROUNDDOWN((V12*$E$47),-1)</f>
        <v>0</v>
      </c>
      <c r="X12" s="21">
        <f aca="true" t="shared" si="17" ref="X12:X27">ROUNDDOWN((U12*$E$48),-1)</f>
        <v>0</v>
      </c>
      <c r="Y12" s="21">
        <f t="shared" si="13"/>
        <v>0</v>
      </c>
      <c r="Z12" s="21">
        <v>40000</v>
      </c>
      <c r="AA12" s="21">
        <f>ROUNDDOWN((U12*0.01),-1)</f>
        <v>0</v>
      </c>
      <c r="AB12" s="21">
        <f>SUM(V12:AA12)</f>
        <v>40000</v>
      </c>
      <c r="AC12" s="45"/>
      <c r="AD12" s="210">
        <f t="shared" si="11"/>
        <v>480000</v>
      </c>
      <c r="AE12">
        <v>12</v>
      </c>
    </row>
    <row r="13" spans="1:31" ht="34.5" customHeight="1">
      <c r="A13" s="392">
        <v>6</v>
      </c>
      <c r="B13" s="393" t="s">
        <v>188</v>
      </c>
      <c r="C13" s="394" t="s">
        <v>191</v>
      </c>
      <c r="D13" s="239">
        <v>4</v>
      </c>
      <c r="E13" s="240">
        <v>1704000</v>
      </c>
      <c r="F13" s="238">
        <v>3</v>
      </c>
      <c r="G13" s="241">
        <f t="shared" si="7"/>
        <v>5112000</v>
      </c>
      <c r="H13" s="238">
        <f>E13*0.6</f>
        <v>1022400</v>
      </c>
      <c r="I13" s="238"/>
      <c r="J13" s="238">
        <f t="shared" si="14"/>
        <v>2017890</v>
      </c>
      <c r="K13" s="238"/>
      <c r="L13" s="238">
        <f t="shared" si="1"/>
        <v>300000</v>
      </c>
      <c r="M13" s="238">
        <f t="shared" si="2"/>
        <v>120000</v>
      </c>
      <c r="N13" s="260">
        <f t="shared" si="3"/>
        <v>8572290</v>
      </c>
      <c r="O13" s="300">
        <f>N13+N14</f>
        <v>32915150</v>
      </c>
      <c r="P13" s="410">
        <f t="shared" si="8"/>
        <v>3460290</v>
      </c>
      <c r="Q13" s="394" t="s">
        <v>191</v>
      </c>
      <c r="R13" s="394" t="s">
        <v>188</v>
      </c>
      <c r="S13" s="411" t="str">
        <f t="shared" si="9"/>
        <v>김극진</v>
      </c>
      <c r="T13" s="239">
        <v>3</v>
      </c>
      <c r="U13" s="21">
        <f t="shared" si="10"/>
        <v>2742929.1666666665</v>
      </c>
      <c r="V13" s="21">
        <f t="shared" si="15"/>
        <v>80910</v>
      </c>
      <c r="W13" s="21">
        <f t="shared" si="16"/>
        <v>5290</v>
      </c>
      <c r="X13" s="21">
        <f t="shared" si="17"/>
        <v>123430</v>
      </c>
      <c r="Y13" s="21">
        <f t="shared" si="13"/>
        <v>12340</v>
      </c>
      <c r="Z13" s="21">
        <v>40000</v>
      </c>
      <c r="AA13" s="21">
        <f>ROUNDDOWN((U13*0.01),-1)</f>
        <v>27420</v>
      </c>
      <c r="AB13" s="21">
        <f>SUM(V13:AA13)</f>
        <v>289390</v>
      </c>
      <c r="AC13" s="45">
        <f>U13-AB13</f>
        <v>2453539.1666666665</v>
      </c>
      <c r="AD13" s="210">
        <f t="shared" si="11"/>
        <v>3472680</v>
      </c>
      <c r="AE13">
        <v>12</v>
      </c>
    </row>
    <row r="14" spans="1:31" ht="34.5" customHeight="1">
      <c r="A14" s="396"/>
      <c r="B14" s="397"/>
      <c r="C14" s="395"/>
      <c r="D14" s="239">
        <v>5</v>
      </c>
      <c r="E14" s="240">
        <v>1755000</v>
      </c>
      <c r="F14" s="238">
        <v>9</v>
      </c>
      <c r="G14" s="241">
        <f t="shared" si="7"/>
        <v>15795000</v>
      </c>
      <c r="H14" s="238">
        <f>E14*0.6</f>
        <v>1053000</v>
      </c>
      <c r="I14" s="238"/>
      <c r="J14" s="238">
        <f t="shared" si="14"/>
        <v>6234860</v>
      </c>
      <c r="K14" s="238"/>
      <c r="L14" s="238">
        <f t="shared" si="1"/>
        <v>900000</v>
      </c>
      <c r="M14" s="238">
        <f t="shared" si="2"/>
        <v>360000</v>
      </c>
      <c r="N14" s="260">
        <f t="shared" si="3"/>
        <v>24342860</v>
      </c>
      <c r="O14" s="301"/>
      <c r="P14" s="410">
        <f t="shared" si="8"/>
        <v>8547860</v>
      </c>
      <c r="Q14" s="395"/>
      <c r="R14" s="395"/>
      <c r="S14" s="411">
        <f t="shared" si="9"/>
        <v>0</v>
      </c>
      <c r="T14" s="239">
        <v>4</v>
      </c>
      <c r="U14" s="21">
        <f t="shared" si="10"/>
        <v>0</v>
      </c>
      <c r="V14" s="21">
        <f t="shared" si="15"/>
        <v>0</v>
      </c>
      <c r="W14" s="21">
        <f t="shared" si="16"/>
        <v>0</v>
      </c>
      <c r="X14" s="21">
        <f t="shared" si="17"/>
        <v>0</v>
      </c>
      <c r="Y14" s="21"/>
      <c r="Z14" s="21"/>
      <c r="AA14" s="21"/>
      <c r="AB14" s="21"/>
      <c r="AC14" s="45"/>
      <c r="AD14" s="210">
        <f t="shared" si="11"/>
        <v>0</v>
      </c>
      <c r="AE14">
        <v>12</v>
      </c>
    </row>
    <row r="15" spans="1:31" ht="34.5" customHeight="1">
      <c r="A15" s="392">
        <v>7</v>
      </c>
      <c r="B15" s="393" t="s">
        <v>188</v>
      </c>
      <c r="C15" s="394" t="s">
        <v>192</v>
      </c>
      <c r="D15" s="239">
        <v>4</v>
      </c>
      <c r="E15" s="240">
        <v>1704000</v>
      </c>
      <c r="F15" s="238">
        <v>7</v>
      </c>
      <c r="G15" s="241">
        <f t="shared" si="7"/>
        <v>11928000</v>
      </c>
      <c r="H15" s="238">
        <f>E15*1.2</f>
        <v>2044800</v>
      </c>
      <c r="I15" s="238"/>
      <c r="J15" s="238">
        <f t="shared" si="14"/>
        <v>4708420</v>
      </c>
      <c r="K15" s="238"/>
      <c r="L15" s="238">
        <f t="shared" si="1"/>
        <v>700000</v>
      </c>
      <c r="M15" s="238">
        <f t="shared" si="2"/>
        <v>280000</v>
      </c>
      <c r="N15" s="260">
        <f t="shared" si="3"/>
        <v>19661220</v>
      </c>
      <c r="O15" s="300">
        <f>N15+N16</f>
        <v>32600030</v>
      </c>
      <c r="P15" s="410">
        <f t="shared" si="8"/>
        <v>7733220</v>
      </c>
      <c r="Q15" s="394" t="s">
        <v>192</v>
      </c>
      <c r="R15" s="394" t="s">
        <v>188</v>
      </c>
      <c r="S15" s="411" t="str">
        <f t="shared" si="9"/>
        <v>김세현</v>
      </c>
      <c r="T15" s="239">
        <v>3</v>
      </c>
      <c r="U15" s="21">
        <f t="shared" si="10"/>
        <v>2716669.1666666665</v>
      </c>
      <c r="V15" s="21">
        <f t="shared" si="15"/>
        <v>80140</v>
      </c>
      <c r="W15" s="21">
        <f t="shared" si="16"/>
        <v>5240</v>
      </c>
      <c r="X15" s="21">
        <f t="shared" si="17"/>
        <v>122250</v>
      </c>
      <c r="Y15" s="21">
        <f>ROUNDDOWN((U15*4.5%/10),-1)</f>
        <v>12220</v>
      </c>
      <c r="Z15" s="21">
        <v>40000</v>
      </c>
      <c r="AA15" s="21">
        <f>ROUNDDOWN((U15*0.01),-1)</f>
        <v>27160</v>
      </c>
      <c r="AB15" s="21">
        <f>SUM(V15:AA15)</f>
        <v>287010</v>
      </c>
      <c r="AC15" s="45">
        <f>U15-AB15</f>
        <v>2429659.1666666665</v>
      </c>
      <c r="AD15" s="210">
        <f t="shared" si="11"/>
        <v>3444120</v>
      </c>
      <c r="AE15">
        <v>12</v>
      </c>
    </row>
    <row r="16" spans="1:31" ht="34.5" customHeight="1">
      <c r="A16" s="396"/>
      <c r="B16" s="397"/>
      <c r="C16" s="395"/>
      <c r="D16" s="239">
        <v>5</v>
      </c>
      <c r="E16" s="240">
        <v>1755000</v>
      </c>
      <c r="F16" s="238">
        <v>5</v>
      </c>
      <c r="G16" s="241">
        <f t="shared" si="7"/>
        <v>8775000</v>
      </c>
      <c r="H16" s="238"/>
      <c r="I16" s="238"/>
      <c r="J16" s="238">
        <f t="shared" si="14"/>
        <v>3463810</v>
      </c>
      <c r="K16" s="238"/>
      <c r="L16" s="238">
        <f t="shared" si="1"/>
        <v>500000</v>
      </c>
      <c r="M16" s="238">
        <f t="shared" si="2"/>
        <v>200000</v>
      </c>
      <c r="N16" s="260">
        <f t="shared" si="3"/>
        <v>12938810</v>
      </c>
      <c r="O16" s="301"/>
      <c r="P16" s="410">
        <f t="shared" si="8"/>
        <v>4163810</v>
      </c>
      <c r="Q16" s="395"/>
      <c r="R16" s="395"/>
      <c r="S16" s="411">
        <f t="shared" si="9"/>
        <v>0</v>
      </c>
      <c r="T16" s="239">
        <v>4</v>
      </c>
      <c r="U16" s="21">
        <f t="shared" si="10"/>
        <v>0</v>
      </c>
      <c r="V16" s="21">
        <f t="shared" si="15"/>
        <v>0</v>
      </c>
      <c r="W16" s="21">
        <f t="shared" si="16"/>
        <v>0</v>
      </c>
      <c r="X16" s="21">
        <f t="shared" si="17"/>
        <v>0</v>
      </c>
      <c r="Y16" s="21"/>
      <c r="Z16" s="21"/>
      <c r="AA16" s="21"/>
      <c r="AB16" s="21"/>
      <c r="AC16" s="45"/>
      <c r="AD16" s="210">
        <f t="shared" si="11"/>
        <v>0</v>
      </c>
      <c r="AE16">
        <v>12</v>
      </c>
    </row>
    <row r="17" spans="1:31" ht="34.5" customHeight="1">
      <c r="A17" s="392">
        <v>8</v>
      </c>
      <c r="B17" s="393" t="s">
        <v>188</v>
      </c>
      <c r="C17" s="394" t="s">
        <v>193</v>
      </c>
      <c r="D17" s="239">
        <v>4</v>
      </c>
      <c r="E17" s="240">
        <v>1704000</v>
      </c>
      <c r="F17" s="238">
        <v>8</v>
      </c>
      <c r="G17" s="241">
        <f t="shared" si="7"/>
        <v>13632000</v>
      </c>
      <c r="H17" s="238">
        <f>E17*1.2</f>
        <v>2044800</v>
      </c>
      <c r="I17" s="238"/>
      <c r="J17" s="238">
        <f t="shared" si="14"/>
        <v>5381050</v>
      </c>
      <c r="K17" s="238"/>
      <c r="L17" s="238">
        <f t="shared" si="1"/>
        <v>800000</v>
      </c>
      <c r="M17" s="238">
        <f t="shared" si="2"/>
        <v>320000</v>
      </c>
      <c r="N17" s="260">
        <f>SUM(G17:M17)</f>
        <v>22177850</v>
      </c>
      <c r="O17" s="300">
        <f>N17+N18</f>
        <v>32528900</v>
      </c>
      <c r="P17" s="410">
        <f t="shared" si="8"/>
        <v>8545850</v>
      </c>
      <c r="Q17" s="394" t="s">
        <v>193</v>
      </c>
      <c r="R17" s="394" t="s">
        <v>188</v>
      </c>
      <c r="S17" s="411" t="str">
        <f t="shared" si="9"/>
        <v>이종영</v>
      </c>
      <c r="T17" s="239">
        <v>3</v>
      </c>
      <c r="U17" s="21">
        <f t="shared" si="10"/>
        <v>2710741.6666666665</v>
      </c>
      <c r="V17" s="21">
        <f t="shared" si="15"/>
        <v>79960</v>
      </c>
      <c r="W17" s="21">
        <f t="shared" si="16"/>
        <v>5230</v>
      </c>
      <c r="X17" s="21">
        <f t="shared" si="17"/>
        <v>121980</v>
      </c>
      <c r="Y17" s="21">
        <f>ROUNDDOWN((U17*4.5%/10),-1)</f>
        <v>12190</v>
      </c>
      <c r="Z17" s="21">
        <v>40000</v>
      </c>
      <c r="AA17" s="21">
        <f>ROUNDDOWN((U17*0.01),-1)</f>
        <v>27100</v>
      </c>
      <c r="AB17" s="21">
        <f>SUM(V17:AA17)</f>
        <v>286460</v>
      </c>
      <c r="AC17" s="45">
        <f>U17-AB17</f>
        <v>2424281.6666666665</v>
      </c>
      <c r="AD17" s="210">
        <f t="shared" si="11"/>
        <v>3437520</v>
      </c>
      <c r="AE17">
        <v>12</v>
      </c>
    </row>
    <row r="18" spans="1:31" ht="34.5" customHeight="1">
      <c r="A18" s="396"/>
      <c r="B18" s="397"/>
      <c r="C18" s="395"/>
      <c r="D18" s="239">
        <v>5</v>
      </c>
      <c r="E18" s="240">
        <v>1755000</v>
      </c>
      <c r="F18" s="238">
        <v>4</v>
      </c>
      <c r="G18" s="241">
        <f t="shared" si="7"/>
        <v>7020000</v>
      </c>
      <c r="H18" s="238"/>
      <c r="I18" s="238"/>
      <c r="J18" s="238">
        <f t="shared" si="14"/>
        <v>2771050</v>
      </c>
      <c r="K18" s="238"/>
      <c r="L18" s="238">
        <f t="shared" si="1"/>
        <v>400000</v>
      </c>
      <c r="M18" s="238">
        <f t="shared" si="2"/>
        <v>160000</v>
      </c>
      <c r="N18" s="260">
        <f>SUM(G18:M18)</f>
        <v>10351050</v>
      </c>
      <c r="O18" s="301"/>
      <c r="P18" s="410">
        <f t="shared" si="8"/>
        <v>3331050</v>
      </c>
      <c r="Q18" s="395"/>
      <c r="R18" s="395"/>
      <c r="S18" s="411">
        <f t="shared" si="9"/>
        <v>0</v>
      </c>
      <c r="T18" s="239">
        <v>4</v>
      </c>
      <c r="U18" s="21">
        <f t="shared" si="10"/>
        <v>0</v>
      </c>
      <c r="V18" s="21">
        <f t="shared" si="15"/>
        <v>0</v>
      </c>
      <c r="W18" s="21">
        <f t="shared" si="16"/>
        <v>0</v>
      </c>
      <c r="X18" s="21">
        <f t="shared" si="17"/>
        <v>0</v>
      </c>
      <c r="Y18" s="21"/>
      <c r="Z18" s="21"/>
      <c r="AA18" s="21"/>
      <c r="AB18" s="21"/>
      <c r="AC18" s="45"/>
      <c r="AD18" s="210">
        <f t="shared" si="11"/>
        <v>0</v>
      </c>
      <c r="AE18">
        <v>12</v>
      </c>
    </row>
    <row r="19" spans="1:31" ht="34.5" customHeight="1">
      <c r="A19" s="392">
        <v>9</v>
      </c>
      <c r="B19" s="393" t="s">
        <v>188</v>
      </c>
      <c r="C19" s="394" t="s">
        <v>118</v>
      </c>
      <c r="D19" s="239">
        <v>4</v>
      </c>
      <c r="E19" s="240">
        <v>1704000</v>
      </c>
      <c r="F19" s="238">
        <v>12</v>
      </c>
      <c r="G19" s="241">
        <f>E19*F19</f>
        <v>20448000</v>
      </c>
      <c r="H19" s="238">
        <f>E19*1.2</f>
        <v>2044800</v>
      </c>
      <c r="I19" s="238"/>
      <c r="J19" s="238">
        <f t="shared" si="14"/>
        <v>8071570</v>
      </c>
      <c r="K19" s="238">
        <f>F19*80000</f>
        <v>960000</v>
      </c>
      <c r="L19" s="238">
        <f>100000*F19</f>
        <v>1200000</v>
      </c>
      <c r="M19" s="238">
        <f>40000*F19</f>
        <v>480000</v>
      </c>
      <c r="N19" s="260">
        <f>SUM(G19:M19)</f>
        <v>33204370</v>
      </c>
      <c r="O19" s="300">
        <f>N19</f>
        <v>33204370</v>
      </c>
      <c r="P19" s="410">
        <f t="shared" si="8"/>
        <v>12756370</v>
      </c>
      <c r="Q19" s="394" t="s">
        <v>194</v>
      </c>
      <c r="R19" s="382" t="s">
        <v>188</v>
      </c>
      <c r="S19" s="411" t="str">
        <f t="shared" si="9"/>
        <v>오재흠</v>
      </c>
      <c r="T19" s="239">
        <v>10</v>
      </c>
      <c r="U19" s="21">
        <f t="shared" si="10"/>
        <v>2767030.8333333335</v>
      </c>
      <c r="V19" s="21">
        <f t="shared" si="15"/>
        <v>81620</v>
      </c>
      <c r="W19" s="21">
        <f t="shared" si="16"/>
        <v>5340</v>
      </c>
      <c r="X19" s="21">
        <f t="shared" si="17"/>
        <v>124510</v>
      </c>
      <c r="Y19" s="21">
        <f>ROUNDDOWN((U19*4.5%/10),-1)</f>
        <v>12450</v>
      </c>
      <c r="Z19" s="21">
        <v>40000</v>
      </c>
      <c r="AA19" s="21">
        <f>ROUNDDOWN((U19*0.01),-1)</f>
        <v>27670</v>
      </c>
      <c r="AB19" s="21">
        <f>SUM(V19:AA19)</f>
        <v>291590</v>
      </c>
      <c r="AC19" s="45"/>
      <c r="AD19" s="210">
        <f t="shared" si="11"/>
        <v>3499080</v>
      </c>
      <c r="AE19">
        <v>12</v>
      </c>
    </row>
    <row r="20" spans="1:31" ht="34.5" customHeight="1">
      <c r="A20" s="423">
        <v>10</v>
      </c>
      <c r="B20" s="419" t="s">
        <v>251</v>
      </c>
      <c r="C20" s="415" t="s">
        <v>196</v>
      </c>
      <c r="D20" s="261">
        <v>5</v>
      </c>
      <c r="E20" s="240">
        <v>1755000</v>
      </c>
      <c r="F20" s="238">
        <v>1</v>
      </c>
      <c r="G20" s="241">
        <f>E20*F20</f>
        <v>1755000</v>
      </c>
      <c r="H20" s="238">
        <f>E20*1.2</f>
        <v>2106000</v>
      </c>
      <c r="I20" s="238"/>
      <c r="J20" s="238">
        <f t="shared" si="14"/>
        <v>692760</v>
      </c>
      <c r="K20" s="238"/>
      <c r="L20" s="238">
        <f>100000*F20</f>
        <v>100000</v>
      </c>
      <c r="M20" s="238">
        <f>40000*F20</f>
        <v>40000</v>
      </c>
      <c r="N20" s="260">
        <f>SUM(G20:M20)</f>
        <v>4693760</v>
      </c>
      <c r="O20" s="300">
        <f>N20+N21</f>
        <v>34770070</v>
      </c>
      <c r="P20" s="410">
        <f t="shared" si="8"/>
        <v>2938760</v>
      </c>
      <c r="Q20" s="415" t="s">
        <v>196</v>
      </c>
      <c r="R20" s="394" t="s">
        <v>188</v>
      </c>
      <c r="S20" s="411" t="str">
        <f t="shared" si="9"/>
        <v>김민지</v>
      </c>
      <c r="T20" s="239">
        <v>3</v>
      </c>
      <c r="U20" s="21">
        <f t="shared" si="10"/>
        <v>2897505.8333333335</v>
      </c>
      <c r="V20" s="21">
        <f t="shared" si="15"/>
        <v>85470</v>
      </c>
      <c r="W20" s="21">
        <f t="shared" si="16"/>
        <v>5590</v>
      </c>
      <c r="X20" s="21">
        <f t="shared" si="17"/>
        <v>130380</v>
      </c>
      <c r="Y20" s="21">
        <f>ROUNDDOWN((U20*4.5%/10),-1)</f>
        <v>13030</v>
      </c>
      <c r="Z20" s="21">
        <v>40000</v>
      </c>
      <c r="AA20" s="21">
        <f>ROUNDDOWN((U20*0.01),-1)</f>
        <v>28970</v>
      </c>
      <c r="AB20" s="21">
        <f>SUM(V20:AA20)</f>
        <v>303440</v>
      </c>
      <c r="AC20" s="45">
        <f>U20-AB20</f>
        <v>2594065.8333333335</v>
      </c>
      <c r="AD20" s="210">
        <f t="shared" si="11"/>
        <v>3641280</v>
      </c>
      <c r="AE20">
        <v>12</v>
      </c>
    </row>
    <row r="21" spans="1:31" ht="34.5" customHeight="1">
      <c r="A21" s="424"/>
      <c r="B21" s="420"/>
      <c r="C21" s="416"/>
      <c r="D21" s="261">
        <v>6</v>
      </c>
      <c r="E21" s="240">
        <v>1860000</v>
      </c>
      <c r="F21" s="238">
        <v>11</v>
      </c>
      <c r="G21" s="241">
        <f>E21*F21</f>
        <v>20460000</v>
      </c>
      <c r="H21" s="238"/>
      <c r="I21" s="238"/>
      <c r="J21" s="238">
        <f t="shared" si="14"/>
        <v>8076310</v>
      </c>
      <c r="K21" s="238"/>
      <c r="L21" s="238">
        <f>100000*F21</f>
        <v>1100000</v>
      </c>
      <c r="M21" s="238">
        <f>40000*F21</f>
        <v>440000</v>
      </c>
      <c r="N21" s="260">
        <f>SUM(G21:M21)</f>
        <v>30076310</v>
      </c>
      <c r="O21" s="301"/>
      <c r="P21" s="410">
        <f t="shared" si="8"/>
        <v>9616310</v>
      </c>
      <c r="Q21" s="416"/>
      <c r="R21" s="395"/>
      <c r="S21" s="411">
        <f t="shared" si="9"/>
        <v>0</v>
      </c>
      <c r="T21" s="239">
        <v>4</v>
      </c>
      <c r="U21" s="21">
        <f t="shared" si="10"/>
        <v>0</v>
      </c>
      <c r="V21" s="21">
        <f t="shared" si="15"/>
        <v>0</v>
      </c>
      <c r="W21" s="21">
        <f t="shared" si="16"/>
        <v>0</v>
      </c>
      <c r="X21" s="21">
        <f t="shared" si="17"/>
        <v>0</v>
      </c>
      <c r="Y21" s="21"/>
      <c r="Z21" s="21"/>
      <c r="AA21" s="21"/>
      <c r="AB21" s="21"/>
      <c r="AC21" s="45"/>
      <c r="AD21" s="210">
        <f t="shared" si="11"/>
        <v>0</v>
      </c>
      <c r="AE21">
        <v>12</v>
      </c>
    </row>
    <row r="22" spans="1:31" ht="34.5" customHeight="1">
      <c r="A22" s="423">
        <v>11</v>
      </c>
      <c r="B22" s="393" t="s">
        <v>188</v>
      </c>
      <c r="C22" s="394" t="s">
        <v>197</v>
      </c>
      <c r="D22" s="239">
        <v>5</v>
      </c>
      <c r="E22" s="240">
        <v>1755000</v>
      </c>
      <c r="F22" s="238">
        <v>8</v>
      </c>
      <c r="G22" s="241">
        <f t="shared" si="7"/>
        <v>14040000</v>
      </c>
      <c r="H22" s="238">
        <f>E22*1.2</f>
        <v>2106000</v>
      </c>
      <c r="I22" s="238"/>
      <c r="J22" s="238">
        <f t="shared" si="14"/>
        <v>5542100</v>
      </c>
      <c r="K22" s="238">
        <v>280000</v>
      </c>
      <c r="L22" s="238">
        <f t="shared" si="1"/>
        <v>800000</v>
      </c>
      <c r="M22" s="238">
        <f t="shared" si="2"/>
        <v>320000</v>
      </c>
      <c r="N22" s="260">
        <f t="shared" si="3"/>
        <v>23088100</v>
      </c>
      <c r="O22" s="300">
        <f>N22+N23</f>
        <v>34024940</v>
      </c>
      <c r="P22" s="410">
        <f t="shared" si="8"/>
        <v>9048100</v>
      </c>
      <c r="Q22" s="394" t="s">
        <v>197</v>
      </c>
      <c r="R22" s="394" t="s">
        <v>188</v>
      </c>
      <c r="S22" s="411" t="str">
        <f t="shared" si="9"/>
        <v>손성호</v>
      </c>
      <c r="T22" s="239">
        <v>3</v>
      </c>
      <c r="U22" s="21">
        <f t="shared" si="10"/>
        <v>2835411.6666666665</v>
      </c>
      <c r="V22" s="21">
        <f t="shared" si="15"/>
        <v>83640</v>
      </c>
      <c r="W22" s="21">
        <f t="shared" si="16"/>
        <v>5470</v>
      </c>
      <c r="X22" s="21">
        <f t="shared" si="17"/>
        <v>127590</v>
      </c>
      <c r="Y22" s="21">
        <f>ROUNDDOWN((U22*4.5%/10),-1)</f>
        <v>12750</v>
      </c>
      <c r="Z22" s="21">
        <v>40000</v>
      </c>
      <c r="AA22" s="21">
        <f>ROUNDDOWN((U22*0.01),-1)</f>
        <v>28350</v>
      </c>
      <c r="AB22" s="21">
        <f>SUM(V22:AA22)</f>
        <v>297800</v>
      </c>
      <c r="AC22" s="45">
        <f>U22-AB22</f>
        <v>2537611.6666666665</v>
      </c>
      <c r="AD22" s="210">
        <f t="shared" si="11"/>
        <v>3573600</v>
      </c>
      <c r="AE22">
        <v>12</v>
      </c>
    </row>
    <row r="23" spans="1:31" ht="34.5" customHeight="1">
      <c r="A23" s="424"/>
      <c r="B23" s="397"/>
      <c r="C23" s="395"/>
      <c r="D23" s="239">
        <v>6</v>
      </c>
      <c r="E23" s="240">
        <v>1860000</v>
      </c>
      <c r="F23" s="238">
        <v>4</v>
      </c>
      <c r="G23" s="241">
        <f t="shared" si="7"/>
        <v>7440000</v>
      </c>
      <c r="H23" s="238"/>
      <c r="I23" s="238"/>
      <c r="J23" s="238">
        <f t="shared" si="14"/>
        <v>2936840</v>
      </c>
      <c r="K23" s="238"/>
      <c r="L23" s="238">
        <f t="shared" si="1"/>
        <v>400000</v>
      </c>
      <c r="M23" s="238">
        <f t="shared" si="2"/>
        <v>160000</v>
      </c>
      <c r="N23" s="260">
        <f t="shared" si="3"/>
        <v>10936840</v>
      </c>
      <c r="O23" s="301"/>
      <c r="P23" s="410">
        <f t="shared" si="8"/>
        <v>3496840</v>
      </c>
      <c r="Q23" s="395"/>
      <c r="R23" s="395"/>
      <c r="S23" s="411">
        <f t="shared" si="9"/>
        <v>0</v>
      </c>
      <c r="T23" s="239">
        <v>4</v>
      </c>
      <c r="U23" s="21">
        <f t="shared" si="10"/>
        <v>0</v>
      </c>
      <c r="V23" s="21">
        <f t="shared" si="15"/>
        <v>0</v>
      </c>
      <c r="W23" s="21">
        <f t="shared" si="16"/>
        <v>0</v>
      </c>
      <c r="X23" s="21">
        <f t="shared" si="17"/>
        <v>0</v>
      </c>
      <c r="Y23" s="21"/>
      <c r="Z23" s="21"/>
      <c r="AA23" s="21"/>
      <c r="AB23" s="21"/>
      <c r="AC23" s="45"/>
      <c r="AD23" s="210">
        <f t="shared" si="11"/>
        <v>0</v>
      </c>
      <c r="AE23">
        <v>12</v>
      </c>
    </row>
    <row r="24" spans="1:31" ht="34.5" customHeight="1">
      <c r="A24" s="423">
        <v>12</v>
      </c>
      <c r="B24" s="419" t="s">
        <v>251</v>
      </c>
      <c r="C24" s="415" t="s">
        <v>198</v>
      </c>
      <c r="D24" s="387">
        <v>1</v>
      </c>
      <c r="E24" s="388">
        <v>1554000</v>
      </c>
      <c r="F24" s="389">
        <v>3</v>
      </c>
      <c r="G24" s="390">
        <f t="shared" si="7"/>
        <v>4662000</v>
      </c>
      <c r="H24" s="389">
        <f>E24*0.6</f>
        <v>932400</v>
      </c>
      <c r="I24" s="389"/>
      <c r="J24" s="389">
        <f t="shared" si="14"/>
        <v>1840260</v>
      </c>
      <c r="K24" s="389"/>
      <c r="L24" s="389">
        <f t="shared" si="1"/>
        <v>300000</v>
      </c>
      <c r="M24" s="389">
        <f t="shared" si="2"/>
        <v>120000</v>
      </c>
      <c r="N24" s="391">
        <f t="shared" si="3"/>
        <v>7854660</v>
      </c>
      <c r="O24" s="300">
        <f>N24+N25</f>
        <v>30185170</v>
      </c>
      <c r="P24" s="410">
        <f t="shared" si="8"/>
        <v>3192660</v>
      </c>
      <c r="Q24" s="415" t="s">
        <v>198</v>
      </c>
      <c r="R24" s="394" t="s">
        <v>188</v>
      </c>
      <c r="S24" s="411" t="str">
        <f t="shared" si="9"/>
        <v>박민지</v>
      </c>
      <c r="T24" s="239">
        <v>3</v>
      </c>
      <c r="U24" s="21">
        <f t="shared" si="10"/>
        <v>2515430.8333333335</v>
      </c>
      <c r="V24" s="21">
        <f t="shared" si="15"/>
        <v>74200</v>
      </c>
      <c r="W24" s="21">
        <f t="shared" si="16"/>
        <v>4860</v>
      </c>
      <c r="X24" s="21">
        <f t="shared" si="17"/>
        <v>113190</v>
      </c>
      <c r="Y24" s="21">
        <f>ROUNDDOWN((U24*4.5%/10),-1)</f>
        <v>11310</v>
      </c>
      <c r="Z24" s="21">
        <v>40000</v>
      </c>
      <c r="AA24" s="21">
        <f>ROUNDDOWN((U24*0.01),-1)</f>
        <v>25150</v>
      </c>
      <c r="AB24" s="21">
        <f>SUM(V24:AA24)</f>
        <v>268710</v>
      </c>
      <c r="AC24" s="45">
        <f>U24-AB24</f>
        <v>2246720.8333333335</v>
      </c>
      <c r="AD24" s="210">
        <f t="shared" si="11"/>
        <v>3224520</v>
      </c>
      <c r="AE24">
        <v>12</v>
      </c>
    </row>
    <row r="25" spans="1:31" ht="34.5" customHeight="1">
      <c r="A25" s="424"/>
      <c r="B25" s="420"/>
      <c r="C25" s="416"/>
      <c r="D25" s="387">
        <v>2</v>
      </c>
      <c r="E25" s="388">
        <v>1602000</v>
      </c>
      <c r="F25" s="389">
        <v>9</v>
      </c>
      <c r="G25" s="390">
        <f t="shared" si="7"/>
        <v>14418000</v>
      </c>
      <c r="H25" s="389">
        <f>E25*0.6</f>
        <v>961200</v>
      </c>
      <c r="I25" s="389"/>
      <c r="J25" s="389">
        <f t="shared" si="14"/>
        <v>5691310</v>
      </c>
      <c r="K25" s="389"/>
      <c r="L25" s="389">
        <f t="shared" si="1"/>
        <v>900000</v>
      </c>
      <c r="M25" s="389">
        <f t="shared" si="2"/>
        <v>360000</v>
      </c>
      <c r="N25" s="391">
        <f t="shared" si="3"/>
        <v>22330510</v>
      </c>
      <c r="O25" s="301"/>
      <c r="P25" s="410">
        <f t="shared" si="8"/>
        <v>7912510</v>
      </c>
      <c r="Q25" s="416"/>
      <c r="R25" s="395"/>
      <c r="S25" s="411">
        <f t="shared" si="9"/>
        <v>0</v>
      </c>
      <c r="T25" s="239">
        <v>4</v>
      </c>
      <c r="U25" s="21">
        <f t="shared" si="10"/>
        <v>0</v>
      </c>
      <c r="V25" s="21">
        <f t="shared" si="15"/>
        <v>0</v>
      </c>
      <c r="W25" s="21">
        <f t="shared" si="16"/>
        <v>0</v>
      </c>
      <c r="X25" s="21">
        <f t="shared" si="17"/>
        <v>0</v>
      </c>
      <c r="Y25" s="21"/>
      <c r="Z25" s="21"/>
      <c r="AA25" s="21"/>
      <c r="AB25" s="21"/>
      <c r="AC25" s="45"/>
      <c r="AD25" s="210">
        <f t="shared" si="11"/>
        <v>0</v>
      </c>
      <c r="AE25">
        <v>12</v>
      </c>
    </row>
    <row r="26" spans="1:31" ht="34.5" customHeight="1">
      <c r="A26" s="423">
        <v>13</v>
      </c>
      <c r="B26" s="419" t="s">
        <v>251</v>
      </c>
      <c r="C26" s="415" t="s">
        <v>199</v>
      </c>
      <c r="D26" s="239">
        <v>5</v>
      </c>
      <c r="E26" s="240">
        <v>1755000</v>
      </c>
      <c r="F26" s="238">
        <v>7</v>
      </c>
      <c r="G26" s="241">
        <f>E26*F26</f>
        <v>12285000</v>
      </c>
      <c r="H26" s="238">
        <f>E26*1.2</f>
        <v>2106000</v>
      </c>
      <c r="I26" s="238"/>
      <c r="J26" s="238">
        <f t="shared" si="14"/>
        <v>4849340</v>
      </c>
      <c r="K26" s="238"/>
      <c r="L26" s="238">
        <f>100000*F26</f>
        <v>700000</v>
      </c>
      <c r="M26" s="238">
        <f>40000*F26</f>
        <v>280000</v>
      </c>
      <c r="N26" s="260">
        <f>SUM(G26:M26)</f>
        <v>20220340</v>
      </c>
      <c r="O26" s="300">
        <f>N26+N27</f>
        <v>33891390</v>
      </c>
      <c r="P26" s="410">
        <f t="shared" si="8"/>
        <v>7935340</v>
      </c>
      <c r="Q26" s="415" t="s">
        <v>199</v>
      </c>
      <c r="R26" s="394" t="s">
        <v>188</v>
      </c>
      <c r="S26" s="411" t="str">
        <f t="shared" si="9"/>
        <v>정동민</v>
      </c>
      <c r="T26" s="239">
        <v>3</v>
      </c>
      <c r="U26" s="21">
        <f t="shared" si="10"/>
        <v>2824282.5</v>
      </c>
      <c r="V26" s="21">
        <f t="shared" si="15"/>
        <v>83310</v>
      </c>
      <c r="W26" s="21">
        <f t="shared" si="16"/>
        <v>5450</v>
      </c>
      <c r="X26" s="21">
        <f t="shared" si="17"/>
        <v>127090</v>
      </c>
      <c r="Y26" s="21">
        <f>ROUNDDOWN((U26*4.5%/10),-1)</f>
        <v>12700</v>
      </c>
      <c r="Z26" s="21">
        <v>40000</v>
      </c>
      <c r="AA26" s="21">
        <f>ROUNDDOWN((U26*0.01),-1)</f>
        <v>28240</v>
      </c>
      <c r="AB26" s="21">
        <f>SUM(V26:AA26)</f>
        <v>296790</v>
      </c>
      <c r="AC26" s="45">
        <f>U26-AB26</f>
        <v>2527492.5</v>
      </c>
      <c r="AD26" s="210">
        <f t="shared" si="11"/>
        <v>3561480</v>
      </c>
      <c r="AE26">
        <v>12</v>
      </c>
    </row>
    <row r="27" spans="1:31" ht="34.5" customHeight="1">
      <c r="A27" s="424"/>
      <c r="B27" s="420"/>
      <c r="C27" s="416"/>
      <c r="D27" s="239">
        <v>6</v>
      </c>
      <c r="E27" s="240">
        <v>1860000</v>
      </c>
      <c r="F27" s="238">
        <v>5</v>
      </c>
      <c r="G27" s="241">
        <f>E27*F27</f>
        <v>9300000</v>
      </c>
      <c r="H27" s="238"/>
      <c r="I27" s="238"/>
      <c r="J27" s="238">
        <f t="shared" si="14"/>
        <v>3671050</v>
      </c>
      <c r="K27" s="238"/>
      <c r="L27" s="238">
        <f>100000*F27</f>
        <v>500000</v>
      </c>
      <c r="M27" s="238">
        <f>40000*F27</f>
        <v>200000</v>
      </c>
      <c r="N27" s="260">
        <f>SUM(G27:M27)</f>
        <v>13671050</v>
      </c>
      <c r="O27" s="301"/>
      <c r="P27" s="410">
        <f t="shared" si="8"/>
        <v>4371050</v>
      </c>
      <c r="Q27" s="416"/>
      <c r="R27" s="395"/>
      <c r="S27" s="411">
        <f t="shared" si="9"/>
        <v>0</v>
      </c>
      <c r="T27" s="239">
        <v>4</v>
      </c>
      <c r="U27" s="21">
        <f t="shared" si="10"/>
        <v>0</v>
      </c>
      <c r="V27" s="21">
        <f t="shared" si="15"/>
        <v>0</v>
      </c>
      <c r="W27" s="21">
        <f t="shared" si="16"/>
        <v>0</v>
      </c>
      <c r="X27" s="21">
        <f t="shared" si="17"/>
        <v>0</v>
      </c>
      <c r="Y27" s="21"/>
      <c r="Z27" s="21"/>
      <c r="AA27" s="21"/>
      <c r="AB27" s="21"/>
      <c r="AC27" s="45"/>
      <c r="AD27" s="210">
        <f t="shared" si="11"/>
        <v>0</v>
      </c>
      <c r="AE27">
        <v>12</v>
      </c>
    </row>
    <row r="28" spans="1:31" ht="34.5" customHeight="1">
      <c r="A28" s="1247">
        <v>14</v>
      </c>
      <c r="B28" s="419" t="s">
        <v>251</v>
      </c>
      <c r="C28" s="415" t="s">
        <v>260</v>
      </c>
      <c r="D28" s="239">
        <v>4</v>
      </c>
      <c r="E28" s="240">
        <v>1704000</v>
      </c>
      <c r="F28" s="238"/>
      <c r="G28" s="241">
        <f>E28*F28</f>
        <v>0</v>
      </c>
      <c r="H28" s="238"/>
      <c r="I28" s="238"/>
      <c r="J28" s="238">
        <f>ROUNDDOWN((G28*55/209*1.5),-1)</f>
        <v>0</v>
      </c>
      <c r="K28" s="238"/>
      <c r="L28" s="238">
        <f>100000*F28</f>
        <v>0</v>
      </c>
      <c r="M28" s="238">
        <f>40000*F28</f>
        <v>0</v>
      </c>
      <c r="N28" s="260">
        <f>SUM(G28:M28)</f>
        <v>0</v>
      </c>
      <c r="O28" s="300">
        <f>N28+N29</f>
        <v>25877630</v>
      </c>
      <c r="P28" s="410">
        <f>SUM(H28:M28)</f>
        <v>0</v>
      </c>
      <c r="Q28" s="415" t="s">
        <v>199</v>
      </c>
      <c r="R28" s="394" t="s">
        <v>188</v>
      </c>
      <c r="S28" s="411" t="str">
        <f>Q28</f>
        <v>정동민</v>
      </c>
      <c r="T28" s="239">
        <v>3</v>
      </c>
      <c r="U28" s="21">
        <f>O28/AE28</f>
        <v>2156469.1666666665</v>
      </c>
      <c r="V28" s="21">
        <f>ROUNDDOWN((U28*$E$46),-1)</f>
        <v>63610</v>
      </c>
      <c r="W28" s="21">
        <f>ROUNDDOWN((V28*$E$47),-1)</f>
        <v>4160</v>
      </c>
      <c r="X28" s="21">
        <f>ROUNDDOWN((U28*$E$48),-1)</f>
        <v>97040</v>
      </c>
      <c r="Y28" s="21">
        <f>ROUNDDOWN((U28*4.5%/10),-1)</f>
        <v>9700</v>
      </c>
      <c r="Z28" s="21">
        <v>40000</v>
      </c>
      <c r="AA28" s="21">
        <f>ROUNDDOWN((U28*0.01),-1)</f>
        <v>21560</v>
      </c>
      <c r="AB28" s="21">
        <f>SUM(V28:AA28)</f>
        <v>236070</v>
      </c>
      <c r="AC28" s="45">
        <f>U28-AB28</f>
        <v>1920399.1666666665</v>
      </c>
      <c r="AD28" s="210">
        <f>AB28*AE28</f>
        <v>2832840</v>
      </c>
      <c r="AE28">
        <v>12</v>
      </c>
    </row>
    <row r="29" spans="1:31" ht="34.5" customHeight="1">
      <c r="A29" s="1248"/>
      <c r="B29" s="420"/>
      <c r="C29" s="416"/>
      <c r="D29" s="239">
        <v>5</v>
      </c>
      <c r="E29" s="240">
        <v>1755000</v>
      </c>
      <c r="F29" s="238">
        <v>10</v>
      </c>
      <c r="G29" s="241">
        <f>E29*F29</f>
        <v>17550000</v>
      </c>
      <c r="H29" s="238"/>
      <c r="I29" s="238"/>
      <c r="J29" s="238">
        <f>ROUNDDOWN((G29*55/209*1.5),-1)</f>
        <v>6927630</v>
      </c>
      <c r="K29" s="238"/>
      <c r="L29" s="238">
        <f>100000*F29</f>
        <v>1000000</v>
      </c>
      <c r="M29" s="238">
        <f>40000*F29</f>
        <v>400000</v>
      </c>
      <c r="N29" s="260">
        <f>SUM(G29:M29)</f>
        <v>25877630</v>
      </c>
      <c r="O29" s="301"/>
      <c r="P29" s="410">
        <f>SUM(H29:M29)</f>
        <v>8327630</v>
      </c>
      <c r="Q29" s="416"/>
      <c r="R29" s="395"/>
      <c r="S29" s="411">
        <f>Q29</f>
        <v>0</v>
      </c>
      <c r="T29" s="239">
        <v>4</v>
      </c>
      <c r="U29" s="21">
        <f>O29/AE29</f>
        <v>0</v>
      </c>
      <c r="V29" s="21">
        <f>ROUNDDOWN((U29*$E$46),-1)</f>
        <v>0</v>
      </c>
      <c r="W29" s="21">
        <f>ROUNDDOWN((V29*$E$47),-1)</f>
        <v>0</v>
      </c>
      <c r="X29" s="21">
        <f>ROUNDDOWN((U29*$E$48),-1)</f>
        <v>0</v>
      </c>
      <c r="Y29" s="21"/>
      <c r="Z29" s="21"/>
      <c r="AA29" s="21"/>
      <c r="AB29" s="21"/>
      <c r="AC29" s="45"/>
      <c r="AD29" s="210">
        <f>AB29*AE29</f>
        <v>0</v>
      </c>
      <c r="AE29">
        <v>12</v>
      </c>
    </row>
    <row r="30" spans="1:31" ht="34.5" customHeight="1">
      <c r="A30" s="384">
        <v>15</v>
      </c>
      <c r="B30" s="385" t="s">
        <v>244</v>
      </c>
      <c r="C30" s="386" t="s">
        <v>243</v>
      </c>
      <c r="D30" s="261">
        <v>5</v>
      </c>
      <c r="E30" s="262">
        <v>1978000</v>
      </c>
      <c r="F30" s="263">
        <v>12</v>
      </c>
      <c r="G30" s="264">
        <f t="shared" si="7"/>
        <v>23736000</v>
      </c>
      <c r="H30" s="263">
        <f>E30*1.2</f>
        <v>2373600</v>
      </c>
      <c r="I30" s="263"/>
      <c r="J30" s="263">
        <f>ROUNDDOWN((G30*35/209*1.5),-1)</f>
        <v>5962390</v>
      </c>
      <c r="K30" s="263"/>
      <c r="L30" s="263">
        <f t="shared" si="1"/>
        <v>1200000</v>
      </c>
      <c r="M30" s="263">
        <f t="shared" si="2"/>
        <v>480000</v>
      </c>
      <c r="N30" s="265">
        <f t="shared" si="3"/>
        <v>33751990</v>
      </c>
      <c r="O30" s="300">
        <f>N30</f>
        <v>33751990</v>
      </c>
      <c r="P30" s="410">
        <f t="shared" si="8"/>
        <v>10015990</v>
      </c>
      <c r="Q30" s="386" t="s">
        <v>243</v>
      </c>
      <c r="R30" s="386" t="s">
        <v>195</v>
      </c>
      <c r="S30" s="411" t="str">
        <f t="shared" si="9"/>
        <v>신규</v>
      </c>
      <c r="T30" s="261">
        <v>1</v>
      </c>
      <c r="U30" s="21">
        <f t="shared" si="10"/>
        <v>2812665.8333333335</v>
      </c>
      <c r="V30" s="21">
        <f aca="true" t="shared" si="18" ref="V30:V42">ROUNDDOWN((U30*$E$46),-1)</f>
        <v>82970</v>
      </c>
      <c r="W30" s="21">
        <f aca="true" t="shared" si="19" ref="W30:W42">ROUNDDOWN((V30*$E$47),-1)</f>
        <v>5430</v>
      </c>
      <c r="X30" s="21">
        <f aca="true" t="shared" si="20" ref="X30:X42">ROUNDDOWN((U30*$E$48),-1)</f>
        <v>126560</v>
      </c>
      <c r="Y30" s="21">
        <f>ROUNDDOWN((U30*4.5%/10),-1)</f>
        <v>12650</v>
      </c>
      <c r="Z30" s="21">
        <v>40000</v>
      </c>
      <c r="AA30" s="21">
        <f>ROUNDDOWN((U30*0.01),-1)</f>
        <v>28120</v>
      </c>
      <c r="AB30" s="21">
        <f>SUM(V30:AA30)</f>
        <v>295730</v>
      </c>
      <c r="AC30" s="45">
        <f>U30-AB30</f>
        <v>2516935.8333333335</v>
      </c>
      <c r="AD30" s="210">
        <f t="shared" si="11"/>
        <v>3548760</v>
      </c>
      <c r="AE30">
        <v>12</v>
      </c>
    </row>
    <row r="31" spans="1:31" ht="34.5" customHeight="1">
      <c r="A31" s="392">
        <v>16</v>
      </c>
      <c r="B31" s="393" t="s">
        <v>200</v>
      </c>
      <c r="C31" s="394" t="s">
        <v>201</v>
      </c>
      <c r="D31" s="239">
        <v>2</v>
      </c>
      <c r="E31" s="240">
        <v>1415000</v>
      </c>
      <c r="F31" s="238">
        <v>3</v>
      </c>
      <c r="G31" s="241">
        <f t="shared" si="7"/>
        <v>4245000</v>
      </c>
      <c r="H31" s="238">
        <f>E31*0.6</f>
        <v>849000</v>
      </c>
      <c r="I31" s="238"/>
      <c r="J31" s="238">
        <f>ROUNDDOWN((G31*55/209*1.5),-1)</f>
        <v>1675650</v>
      </c>
      <c r="K31" s="238"/>
      <c r="L31" s="238">
        <f t="shared" si="1"/>
        <v>300000</v>
      </c>
      <c r="M31" s="238"/>
      <c r="N31" s="260">
        <f t="shared" si="3"/>
        <v>7069650</v>
      </c>
      <c r="O31" s="300">
        <f>N31+N32</f>
        <v>27238250</v>
      </c>
      <c r="P31" s="410">
        <f t="shared" si="8"/>
        <v>2824650</v>
      </c>
      <c r="Q31" s="394" t="s">
        <v>201</v>
      </c>
      <c r="R31" s="394" t="s">
        <v>200</v>
      </c>
      <c r="S31" s="411" t="str">
        <f t="shared" si="9"/>
        <v>김봉란</v>
      </c>
      <c r="T31" s="239">
        <v>1</v>
      </c>
      <c r="U31" s="21">
        <f t="shared" si="10"/>
        <v>2269854.1666666665</v>
      </c>
      <c r="V31" s="21">
        <f t="shared" si="18"/>
        <v>66960</v>
      </c>
      <c r="W31" s="21">
        <f t="shared" si="19"/>
        <v>4380</v>
      </c>
      <c r="X31" s="21">
        <f t="shared" si="20"/>
        <v>102140</v>
      </c>
      <c r="Y31" s="21">
        <f>ROUNDDOWN((U31*4.5%/10),-1)</f>
        <v>10210</v>
      </c>
      <c r="Z31" s="21">
        <v>40000</v>
      </c>
      <c r="AA31" s="21">
        <f>ROUNDDOWN((U31*0.01),-1)</f>
        <v>22690</v>
      </c>
      <c r="AB31" s="21">
        <f>SUM(V31:AA31)</f>
        <v>246380</v>
      </c>
      <c r="AC31" s="45">
        <f>U31-AB31</f>
        <v>2023474.1666666665</v>
      </c>
      <c r="AD31" s="210">
        <f t="shared" si="11"/>
        <v>2956560</v>
      </c>
      <c r="AE31">
        <v>12</v>
      </c>
    </row>
    <row r="32" spans="1:31" ht="34.5" customHeight="1">
      <c r="A32" s="396"/>
      <c r="B32" s="397"/>
      <c r="C32" s="395"/>
      <c r="D32" s="239">
        <v>3</v>
      </c>
      <c r="E32" s="240">
        <v>1465000</v>
      </c>
      <c r="F32" s="238">
        <v>9</v>
      </c>
      <c r="G32" s="241">
        <f t="shared" si="7"/>
        <v>13185000</v>
      </c>
      <c r="H32" s="238">
        <f aca="true" t="shared" si="21" ref="H32:H40">E32*0.6</f>
        <v>879000</v>
      </c>
      <c r="I32" s="238"/>
      <c r="J32" s="238">
        <f>ROUNDDOWN((G32*55/209*1.5),-1)</f>
        <v>5204600</v>
      </c>
      <c r="K32" s="238"/>
      <c r="L32" s="238">
        <f t="shared" si="1"/>
        <v>900000</v>
      </c>
      <c r="M32" s="238"/>
      <c r="N32" s="260">
        <f t="shared" si="3"/>
        <v>20168600</v>
      </c>
      <c r="O32" s="301"/>
      <c r="P32" s="410">
        <f t="shared" si="8"/>
        <v>6983600</v>
      </c>
      <c r="Q32" s="395"/>
      <c r="R32" s="395"/>
      <c r="S32" s="411">
        <f t="shared" si="9"/>
        <v>0</v>
      </c>
      <c r="T32" s="239">
        <v>2</v>
      </c>
      <c r="U32" s="21">
        <f t="shared" si="10"/>
        <v>0</v>
      </c>
      <c r="V32" s="21">
        <f t="shared" si="18"/>
        <v>0</v>
      </c>
      <c r="W32" s="21">
        <f t="shared" si="19"/>
        <v>0</v>
      </c>
      <c r="X32" s="21">
        <f t="shared" si="20"/>
        <v>0</v>
      </c>
      <c r="Y32" s="21"/>
      <c r="Z32" s="21"/>
      <c r="AA32" s="21"/>
      <c r="AB32" s="21"/>
      <c r="AC32" s="45"/>
      <c r="AD32" s="210">
        <f t="shared" si="11"/>
        <v>0</v>
      </c>
      <c r="AE32">
        <v>12</v>
      </c>
    </row>
    <row r="33" spans="1:31" ht="34.5" customHeight="1">
      <c r="A33" s="392">
        <v>17</v>
      </c>
      <c r="B33" s="393" t="s">
        <v>200</v>
      </c>
      <c r="C33" s="394" t="s">
        <v>202</v>
      </c>
      <c r="D33" s="239">
        <v>2</v>
      </c>
      <c r="E33" s="240">
        <v>1415000</v>
      </c>
      <c r="F33" s="238">
        <v>9</v>
      </c>
      <c r="G33" s="241">
        <f t="shared" si="7"/>
        <v>12735000</v>
      </c>
      <c r="H33" s="238">
        <f>E33*1.2</f>
        <v>1698000</v>
      </c>
      <c r="I33" s="238"/>
      <c r="J33" s="238">
        <f>ROUNDDOWN((G33*55/209*1.5),-1)</f>
        <v>5026970</v>
      </c>
      <c r="K33" s="238">
        <f>F33*40000</f>
        <v>360000</v>
      </c>
      <c r="L33" s="238">
        <f t="shared" si="1"/>
        <v>900000</v>
      </c>
      <c r="M33" s="238"/>
      <c r="N33" s="260">
        <f t="shared" si="3"/>
        <v>20719970</v>
      </c>
      <c r="O33" s="300">
        <f>N33+N34</f>
        <v>27269830</v>
      </c>
      <c r="P33" s="410">
        <f t="shared" si="8"/>
        <v>7984970</v>
      </c>
      <c r="Q33" s="394" t="s">
        <v>202</v>
      </c>
      <c r="R33" s="394" t="s">
        <v>200</v>
      </c>
      <c r="S33" s="411" t="str">
        <f t="shared" si="9"/>
        <v>서숙재</v>
      </c>
      <c r="T33" s="239">
        <v>1</v>
      </c>
      <c r="U33" s="21">
        <f t="shared" si="10"/>
        <v>2272485.8333333335</v>
      </c>
      <c r="V33" s="21">
        <f t="shared" si="18"/>
        <v>67030</v>
      </c>
      <c r="W33" s="21">
        <f t="shared" si="19"/>
        <v>4390</v>
      </c>
      <c r="X33" s="21">
        <f t="shared" si="20"/>
        <v>102260</v>
      </c>
      <c r="Y33" s="21">
        <f>ROUNDDOWN((U33*4.5%/10),-1)</f>
        <v>10220</v>
      </c>
      <c r="Z33" s="21">
        <v>40000</v>
      </c>
      <c r="AA33" s="21">
        <f>ROUNDDOWN((U33*0.01),-1)</f>
        <v>22720</v>
      </c>
      <c r="AB33" s="21">
        <f>SUM(V33:AA33)</f>
        <v>246620</v>
      </c>
      <c r="AC33" s="45">
        <f>U33-AB33</f>
        <v>2025865.8333333335</v>
      </c>
      <c r="AD33" s="210">
        <f t="shared" si="11"/>
        <v>2959440</v>
      </c>
      <c r="AE33">
        <v>12</v>
      </c>
    </row>
    <row r="34" spans="1:31" ht="34.5" customHeight="1">
      <c r="A34" s="396"/>
      <c r="B34" s="397"/>
      <c r="C34" s="395"/>
      <c r="D34" s="239">
        <v>3</v>
      </c>
      <c r="E34" s="240">
        <v>1465000</v>
      </c>
      <c r="F34" s="238">
        <v>3</v>
      </c>
      <c r="G34" s="241">
        <f t="shared" si="7"/>
        <v>4395000</v>
      </c>
      <c r="H34" s="238"/>
      <c r="I34" s="238"/>
      <c r="J34" s="238">
        <f>ROUNDDOWN((G34*55/209*1.5),-1)</f>
        <v>1734860</v>
      </c>
      <c r="K34" s="238">
        <f>F34*40000</f>
        <v>120000</v>
      </c>
      <c r="L34" s="238">
        <f t="shared" si="1"/>
        <v>300000</v>
      </c>
      <c r="M34" s="238"/>
      <c r="N34" s="260">
        <f t="shared" si="3"/>
        <v>6549860</v>
      </c>
      <c r="O34" s="301"/>
      <c r="P34" s="410">
        <f t="shared" si="8"/>
        <v>2154860</v>
      </c>
      <c r="Q34" s="395"/>
      <c r="R34" s="395"/>
      <c r="S34" s="411">
        <f t="shared" si="9"/>
        <v>0</v>
      </c>
      <c r="T34" s="239">
        <v>2</v>
      </c>
      <c r="U34" s="21">
        <f t="shared" si="10"/>
        <v>0</v>
      </c>
      <c r="V34" s="21">
        <f t="shared" si="18"/>
        <v>0</v>
      </c>
      <c r="W34" s="21">
        <f t="shared" si="19"/>
        <v>0</v>
      </c>
      <c r="X34" s="21">
        <f t="shared" si="20"/>
        <v>0</v>
      </c>
      <c r="Y34" s="21"/>
      <c r="Z34" s="21"/>
      <c r="AA34" s="21"/>
      <c r="AB34" s="21"/>
      <c r="AC34" s="45"/>
      <c r="AD34" s="210">
        <f t="shared" si="11"/>
        <v>0</v>
      </c>
      <c r="AE34">
        <v>12</v>
      </c>
    </row>
    <row r="35" spans="1:31" ht="34.5" customHeight="1">
      <c r="A35" s="392">
        <v>18</v>
      </c>
      <c r="B35" s="393" t="s">
        <v>203</v>
      </c>
      <c r="C35" s="394" t="s">
        <v>204</v>
      </c>
      <c r="D35" s="239">
        <v>5</v>
      </c>
      <c r="E35" s="240">
        <v>1515000</v>
      </c>
      <c r="F35" s="238">
        <v>11</v>
      </c>
      <c r="G35" s="241">
        <f t="shared" si="7"/>
        <v>16665000</v>
      </c>
      <c r="H35" s="238">
        <f>E35*1.2</f>
        <v>1818000</v>
      </c>
      <c r="I35" s="238"/>
      <c r="J35" s="238">
        <f aca="true" t="shared" si="22" ref="J35:J42">ROUNDDOWN((G35*35/209*1.5),-1)</f>
        <v>4186180</v>
      </c>
      <c r="K35" s="238">
        <f>F35*80000</f>
        <v>880000</v>
      </c>
      <c r="L35" s="238">
        <f t="shared" si="1"/>
        <v>1100000</v>
      </c>
      <c r="M35" s="238"/>
      <c r="N35" s="260">
        <f t="shared" si="3"/>
        <v>24649180</v>
      </c>
      <c r="O35" s="300">
        <f>N35+N36</f>
        <v>26789800</v>
      </c>
      <c r="P35" s="410">
        <f t="shared" si="8"/>
        <v>7984180</v>
      </c>
      <c r="Q35" s="394" t="s">
        <v>204</v>
      </c>
      <c r="R35" s="394" t="s">
        <v>203</v>
      </c>
      <c r="S35" s="411" t="str">
        <f t="shared" si="9"/>
        <v>정안순</v>
      </c>
      <c r="T35" s="239">
        <v>4</v>
      </c>
      <c r="U35" s="21">
        <f t="shared" si="10"/>
        <v>2232483.3333333335</v>
      </c>
      <c r="V35" s="21">
        <f t="shared" si="18"/>
        <v>65850</v>
      </c>
      <c r="W35" s="21">
        <f t="shared" si="19"/>
        <v>4310</v>
      </c>
      <c r="X35" s="21">
        <f t="shared" si="20"/>
        <v>100460</v>
      </c>
      <c r="Y35" s="21">
        <f>ROUNDDOWN((U35*4.5%/10),-1)</f>
        <v>10040</v>
      </c>
      <c r="Z35" s="21">
        <v>40000</v>
      </c>
      <c r="AA35" s="21">
        <f>ROUNDDOWN((U35*0.01),-1)</f>
        <v>22320</v>
      </c>
      <c r="AB35" s="21">
        <f>SUM(V35:AA35)</f>
        <v>242980</v>
      </c>
      <c r="AC35" s="45">
        <f>U35-AB35</f>
        <v>1989503.3333333335</v>
      </c>
      <c r="AD35" s="210">
        <f t="shared" si="11"/>
        <v>2915760</v>
      </c>
      <c r="AE35">
        <v>12</v>
      </c>
    </row>
    <row r="36" spans="1:31" ht="34.5" customHeight="1">
      <c r="A36" s="396"/>
      <c r="B36" s="397"/>
      <c r="C36" s="395"/>
      <c r="D36" s="239">
        <v>6</v>
      </c>
      <c r="E36" s="240">
        <v>1567000</v>
      </c>
      <c r="F36" s="238">
        <v>1</v>
      </c>
      <c r="G36" s="241">
        <f t="shared" si="7"/>
        <v>1567000</v>
      </c>
      <c r="H36" s="238"/>
      <c r="I36" s="238"/>
      <c r="J36" s="238">
        <f t="shared" si="22"/>
        <v>393620</v>
      </c>
      <c r="K36" s="238">
        <f>F36*80000</f>
        <v>80000</v>
      </c>
      <c r="L36" s="238">
        <f t="shared" si="1"/>
        <v>100000</v>
      </c>
      <c r="M36" s="238"/>
      <c r="N36" s="260">
        <f t="shared" si="3"/>
        <v>2140620</v>
      </c>
      <c r="O36" s="301"/>
      <c r="P36" s="410">
        <f t="shared" si="8"/>
        <v>573620</v>
      </c>
      <c r="Q36" s="395"/>
      <c r="R36" s="395"/>
      <c r="S36" s="411">
        <f t="shared" si="9"/>
        <v>0</v>
      </c>
      <c r="T36" s="239">
        <v>5</v>
      </c>
      <c r="U36" s="21">
        <f t="shared" si="10"/>
        <v>0</v>
      </c>
      <c r="V36" s="21">
        <f t="shared" si="18"/>
        <v>0</v>
      </c>
      <c r="W36" s="21">
        <f t="shared" si="19"/>
        <v>0</v>
      </c>
      <c r="X36" s="21">
        <f t="shared" si="20"/>
        <v>0</v>
      </c>
      <c r="Y36" s="21"/>
      <c r="Z36" s="21"/>
      <c r="AA36" s="21"/>
      <c r="AB36" s="21"/>
      <c r="AC36" s="45"/>
      <c r="AD36" s="210">
        <f t="shared" si="11"/>
        <v>0</v>
      </c>
      <c r="AE36">
        <v>12</v>
      </c>
    </row>
    <row r="37" spans="1:31" ht="34.5" customHeight="1">
      <c r="A37" s="392">
        <v>19</v>
      </c>
      <c r="B37" s="393" t="s">
        <v>252</v>
      </c>
      <c r="C37" s="394" t="s">
        <v>245</v>
      </c>
      <c r="D37" s="239">
        <v>1</v>
      </c>
      <c r="E37" s="240">
        <v>1665000</v>
      </c>
      <c r="F37" s="238">
        <v>4</v>
      </c>
      <c r="G37" s="241">
        <f t="shared" si="7"/>
        <v>6660000</v>
      </c>
      <c r="H37" s="238">
        <f t="shared" si="21"/>
        <v>999000</v>
      </c>
      <c r="I37" s="238"/>
      <c r="J37" s="238">
        <f t="shared" si="22"/>
        <v>1672960</v>
      </c>
      <c r="K37" s="238"/>
      <c r="L37" s="238">
        <f t="shared" si="1"/>
        <v>400000</v>
      </c>
      <c r="M37" s="238">
        <f>40000*F37</f>
        <v>160000</v>
      </c>
      <c r="N37" s="260">
        <f>SUM(G37:M37)</f>
        <v>9891960</v>
      </c>
      <c r="O37" s="300">
        <f>N37+N38</f>
        <v>29292240</v>
      </c>
      <c r="P37" s="410">
        <f t="shared" si="8"/>
        <v>3231960</v>
      </c>
      <c r="Q37" s="394" t="s">
        <v>245</v>
      </c>
      <c r="R37" s="394" t="s">
        <v>205</v>
      </c>
      <c r="S37" s="411" t="str">
        <f t="shared" si="9"/>
        <v>박은정</v>
      </c>
      <c r="T37" s="239">
        <v>5</v>
      </c>
      <c r="U37" s="21">
        <f t="shared" si="10"/>
        <v>2441020</v>
      </c>
      <c r="V37" s="21">
        <f t="shared" si="18"/>
        <v>72010</v>
      </c>
      <c r="W37" s="21">
        <f t="shared" si="19"/>
        <v>4710</v>
      </c>
      <c r="X37" s="21">
        <f t="shared" si="20"/>
        <v>109840</v>
      </c>
      <c r="Y37" s="21">
        <f>ROUNDDOWN((U37*4.5%/10),-1)</f>
        <v>10980</v>
      </c>
      <c r="Z37" s="21">
        <v>40000</v>
      </c>
      <c r="AA37" s="21">
        <f>ROUNDDOWN((U37*0.01),-1)</f>
        <v>24410</v>
      </c>
      <c r="AB37" s="21">
        <f>SUM(V37:AA37)</f>
        <v>261950</v>
      </c>
      <c r="AC37" s="45">
        <f>U37-AB37</f>
        <v>2179070</v>
      </c>
      <c r="AD37" s="210">
        <f t="shared" si="11"/>
        <v>3143400</v>
      </c>
      <c r="AE37">
        <v>12</v>
      </c>
    </row>
    <row r="38" spans="1:31" ht="34.5" customHeight="1">
      <c r="A38" s="396"/>
      <c r="B38" s="397"/>
      <c r="C38" s="395"/>
      <c r="D38" s="239">
        <v>2</v>
      </c>
      <c r="E38" s="240">
        <v>1723000</v>
      </c>
      <c r="F38" s="238">
        <v>8</v>
      </c>
      <c r="G38" s="241">
        <f>E38*F38</f>
        <v>13784000</v>
      </c>
      <c r="H38" s="238">
        <f t="shared" si="21"/>
        <v>1033800</v>
      </c>
      <c r="I38" s="238"/>
      <c r="J38" s="238">
        <f t="shared" si="22"/>
        <v>3462480</v>
      </c>
      <c r="K38" s="238"/>
      <c r="L38" s="238">
        <f>100000*F38</f>
        <v>800000</v>
      </c>
      <c r="M38" s="238">
        <f>40000*F38</f>
        <v>320000</v>
      </c>
      <c r="N38" s="260">
        <f>SUM(G38:M38)</f>
        <v>19400280</v>
      </c>
      <c r="O38" s="301"/>
      <c r="P38" s="410">
        <f t="shared" si="8"/>
        <v>5616280</v>
      </c>
      <c r="Q38" s="395"/>
      <c r="R38" s="395"/>
      <c r="S38" s="411">
        <f t="shared" si="9"/>
        <v>0</v>
      </c>
      <c r="T38" s="239">
        <v>6</v>
      </c>
      <c r="U38" s="21">
        <f t="shared" si="10"/>
        <v>0</v>
      </c>
      <c r="V38" s="21">
        <f t="shared" si="18"/>
        <v>0</v>
      </c>
      <c r="W38" s="21">
        <f t="shared" si="19"/>
        <v>0</v>
      </c>
      <c r="X38" s="21">
        <f t="shared" si="20"/>
        <v>0</v>
      </c>
      <c r="Y38" s="21"/>
      <c r="Z38" s="21"/>
      <c r="AA38" s="21"/>
      <c r="AB38" s="21"/>
      <c r="AC38" s="45"/>
      <c r="AD38" s="210">
        <f t="shared" si="11"/>
        <v>0</v>
      </c>
      <c r="AE38">
        <v>12</v>
      </c>
    </row>
    <row r="39" spans="1:31" ht="34.5" customHeight="1">
      <c r="A39" s="392">
        <v>20</v>
      </c>
      <c r="B39" s="393" t="s">
        <v>206</v>
      </c>
      <c r="C39" s="394" t="s">
        <v>207</v>
      </c>
      <c r="D39" s="239">
        <v>5</v>
      </c>
      <c r="E39" s="240">
        <v>1978000</v>
      </c>
      <c r="F39" s="238">
        <v>3</v>
      </c>
      <c r="G39" s="241">
        <f>E39*F39</f>
        <v>5934000</v>
      </c>
      <c r="H39" s="238">
        <f t="shared" si="21"/>
        <v>1186800</v>
      </c>
      <c r="I39" s="238"/>
      <c r="J39" s="238">
        <f t="shared" si="22"/>
        <v>1490590</v>
      </c>
      <c r="K39" s="238">
        <f>F39*80000</f>
        <v>240000</v>
      </c>
      <c r="L39" s="238">
        <f>100000*F39</f>
        <v>300000</v>
      </c>
      <c r="M39" s="238"/>
      <c r="N39" s="260">
        <f>SUM(G39:M39)</f>
        <v>9151390</v>
      </c>
      <c r="O39" s="300">
        <f>N39+N40</f>
        <v>35323170</v>
      </c>
      <c r="P39" s="410">
        <f t="shared" si="8"/>
        <v>3217390</v>
      </c>
      <c r="Q39" s="394" t="s">
        <v>207</v>
      </c>
      <c r="R39" s="394" t="s">
        <v>200</v>
      </c>
      <c r="S39" s="411" t="str">
        <f t="shared" si="9"/>
        <v>양은하</v>
      </c>
      <c r="T39" s="239">
        <v>1</v>
      </c>
      <c r="U39" s="21">
        <f t="shared" si="10"/>
        <v>2943597.5</v>
      </c>
      <c r="V39" s="21">
        <f t="shared" si="18"/>
        <v>86830</v>
      </c>
      <c r="W39" s="21">
        <f t="shared" si="19"/>
        <v>5680</v>
      </c>
      <c r="X39" s="21">
        <f t="shared" si="20"/>
        <v>132460</v>
      </c>
      <c r="Y39" s="21">
        <f>ROUNDDOWN((U39*4.5%/10),-1)</f>
        <v>13240</v>
      </c>
      <c r="Z39" s="21">
        <v>40000</v>
      </c>
      <c r="AA39" s="21">
        <f>ROUNDDOWN((U39*0.01),-1)</f>
        <v>29430</v>
      </c>
      <c r="AB39" s="21">
        <f>SUM(V39:AA39)</f>
        <v>307640</v>
      </c>
      <c r="AC39" s="45">
        <f>U39-AB39</f>
        <v>2635957.5</v>
      </c>
      <c r="AD39" s="210">
        <f t="shared" si="11"/>
        <v>3691680</v>
      </c>
      <c r="AE39">
        <v>12</v>
      </c>
    </row>
    <row r="40" spans="1:31" ht="34.5" customHeight="1">
      <c r="A40" s="396"/>
      <c r="B40" s="397"/>
      <c r="C40" s="395"/>
      <c r="D40" s="239">
        <v>6</v>
      </c>
      <c r="E40" s="240">
        <v>2070000</v>
      </c>
      <c r="F40" s="238">
        <v>9</v>
      </c>
      <c r="G40" s="241">
        <f>E40*F40</f>
        <v>18630000</v>
      </c>
      <c r="H40" s="238">
        <f t="shared" si="21"/>
        <v>1242000</v>
      </c>
      <c r="I40" s="238"/>
      <c r="J40" s="238">
        <f t="shared" si="22"/>
        <v>4679780</v>
      </c>
      <c r="K40" s="238">
        <f>F40*80000</f>
        <v>720000</v>
      </c>
      <c r="L40" s="238">
        <f>100000*F40</f>
        <v>900000</v>
      </c>
      <c r="M40" s="238"/>
      <c r="N40" s="260">
        <f>SUM(G40:M40)</f>
        <v>26171780</v>
      </c>
      <c r="O40" s="301"/>
      <c r="P40" s="410">
        <f t="shared" si="8"/>
        <v>7541780</v>
      </c>
      <c r="Q40" s="395"/>
      <c r="R40" s="395"/>
      <c r="S40" s="411">
        <f t="shared" si="9"/>
        <v>0</v>
      </c>
      <c r="T40" s="239">
        <v>2</v>
      </c>
      <c r="U40" s="21">
        <f t="shared" si="10"/>
        <v>0</v>
      </c>
      <c r="V40" s="21">
        <f t="shared" si="18"/>
        <v>0</v>
      </c>
      <c r="W40" s="21">
        <f t="shared" si="19"/>
        <v>0</v>
      </c>
      <c r="X40" s="21">
        <f t="shared" si="20"/>
        <v>0</v>
      </c>
      <c r="Y40" s="21"/>
      <c r="Z40" s="21"/>
      <c r="AA40" s="21"/>
      <c r="AB40" s="21"/>
      <c r="AC40" s="45"/>
      <c r="AD40" s="210">
        <f t="shared" si="11"/>
        <v>0</v>
      </c>
      <c r="AE40">
        <v>12</v>
      </c>
    </row>
    <row r="41" spans="1:31" ht="34.5" customHeight="1">
      <c r="A41" s="266">
        <v>21</v>
      </c>
      <c r="B41" s="298" t="s">
        <v>208</v>
      </c>
      <c r="C41" s="1249" t="s">
        <v>209</v>
      </c>
      <c r="D41" s="268">
        <v>2</v>
      </c>
      <c r="E41" s="269">
        <v>1602000</v>
      </c>
      <c r="F41" s="270">
        <v>11</v>
      </c>
      <c r="G41" s="271">
        <f t="shared" si="7"/>
        <v>17622000</v>
      </c>
      <c r="H41" s="270">
        <f>E41</f>
        <v>1602000</v>
      </c>
      <c r="I41" s="270"/>
      <c r="J41" s="238">
        <f t="shared" si="22"/>
        <v>4426570</v>
      </c>
      <c r="K41" s="270">
        <f>F41*20000</f>
        <v>220000</v>
      </c>
      <c r="L41" s="270">
        <f t="shared" si="1"/>
        <v>1100000</v>
      </c>
      <c r="M41" s="270"/>
      <c r="N41" s="272">
        <f t="shared" si="3"/>
        <v>24970570</v>
      </c>
      <c r="O41" s="300">
        <f>N41+N42</f>
        <v>27157540</v>
      </c>
      <c r="P41" s="410">
        <f t="shared" si="8"/>
        <v>7348570</v>
      </c>
      <c r="Q41" s="267" t="s">
        <v>209</v>
      </c>
      <c r="R41" s="267" t="s">
        <v>208</v>
      </c>
      <c r="S41" s="411" t="str">
        <f t="shared" si="9"/>
        <v>황효섭</v>
      </c>
      <c r="T41" s="268">
        <v>1</v>
      </c>
      <c r="U41" s="21">
        <f t="shared" si="10"/>
        <v>2263128.3333333335</v>
      </c>
      <c r="V41" s="21">
        <f t="shared" si="18"/>
        <v>66760</v>
      </c>
      <c r="W41" s="21">
        <f t="shared" si="19"/>
        <v>4370</v>
      </c>
      <c r="X41" s="21">
        <f t="shared" si="20"/>
        <v>101840</v>
      </c>
      <c r="Y41" s="21">
        <f>ROUNDDOWN((U41*4.5%/10),-1)</f>
        <v>10180</v>
      </c>
      <c r="Z41" s="21">
        <v>40000</v>
      </c>
      <c r="AA41" s="21">
        <f>ROUNDDOWN((U41*0.01),-1)</f>
        <v>22630</v>
      </c>
      <c r="AB41" s="21">
        <f>SUM(V41:AA41)</f>
        <v>245780</v>
      </c>
      <c r="AC41" s="45">
        <f>U41-AB41</f>
        <v>2017348.3333333335</v>
      </c>
      <c r="AD41" s="210">
        <f t="shared" si="11"/>
        <v>2949360</v>
      </c>
      <c r="AE41">
        <v>12</v>
      </c>
    </row>
    <row r="42" spans="1:31" ht="34.5" customHeight="1">
      <c r="A42" s="520"/>
      <c r="B42" s="521"/>
      <c r="C42" s="1250"/>
      <c r="D42" s="268">
        <v>3</v>
      </c>
      <c r="E42" s="269">
        <v>1652000</v>
      </c>
      <c r="F42" s="270">
        <v>1</v>
      </c>
      <c r="G42" s="271">
        <f>E42*F42</f>
        <v>1652000</v>
      </c>
      <c r="H42" s="270"/>
      <c r="I42" s="270"/>
      <c r="J42" s="238">
        <f t="shared" si="22"/>
        <v>414970</v>
      </c>
      <c r="K42" s="270">
        <f>F42*20000</f>
        <v>20000</v>
      </c>
      <c r="L42" s="270">
        <f>100000*F42</f>
        <v>100000</v>
      </c>
      <c r="M42" s="270"/>
      <c r="N42" s="272">
        <f>SUM(G42:M42)</f>
        <v>2186970</v>
      </c>
      <c r="O42" s="300"/>
      <c r="P42" s="410">
        <f>SUM(H42:M42)</f>
        <v>534970</v>
      </c>
      <c r="Q42" s="267" t="s">
        <v>209</v>
      </c>
      <c r="R42" s="267" t="s">
        <v>208</v>
      </c>
      <c r="S42" s="411" t="str">
        <f>Q42</f>
        <v>황효섭</v>
      </c>
      <c r="T42" s="268">
        <v>1</v>
      </c>
      <c r="U42" s="21">
        <f>O42/AE42</f>
        <v>0</v>
      </c>
      <c r="V42" s="21">
        <f t="shared" si="18"/>
        <v>0</v>
      </c>
      <c r="W42" s="21">
        <f t="shared" si="19"/>
        <v>0</v>
      </c>
      <c r="X42" s="21">
        <f t="shared" si="20"/>
        <v>0</v>
      </c>
      <c r="Y42" s="21">
        <f>ROUNDDOWN((U42*4.5%/10),-1)</f>
        <v>0</v>
      </c>
      <c r="Z42" s="21">
        <v>40000</v>
      </c>
      <c r="AA42" s="21">
        <f>ROUNDDOWN((U42*0.01),-1)</f>
        <v>0</v>
      </c>
      <c r="AB42" s="21">
        <f>SUM(V42:AA42)</f>
        <v>40000</v>
      </c>
      <c r="AC42" s="45">
        <f>U42-AB42</f>
        <v>-40000</v>
      </c>
      <c r="AD42" s="210">
        <f>AB42*AE42</f>
        <v>480000</v>
      </c>
      <c r="AE42">
        <v>12</v>
      </c>
    </row>
    <row r="43" spans="1:30" ht="34.5" customHeight="1" thickBot="1">
      <c r="A43" s="1198" t="s">
        <v>210</v>
      </c>
      <c r="B43" s="1199"/>
      <c r="C43" s="37"/>
      <c r="D43" s="38"/>
      <c r="E43" s="39">
        <f>SUM(E3:E41)</f>
        <v>74084000</v>
      </c>
      <c r="F43" s="39"/>
      <c r="G43" s="40">
        <f aca="true" t="shared" si="23" ref="G43:P43">SUM(G3:G41)</f>
        <v>471546000</v>
      </c>
      <c r="H43" s="40">
        <f t="shared" si="23"/>
        <v>44760000</v>
      </c>
      <c r="I43" s="40">
        <f t="shared" si="23"/>
        <v>3600000</v>
      </c>
      <c r="J43" s="40">
        <f t="shared" si="23"/>
        <v>156583650</v>
      </c>
      <c r="K43" s="40">
        <f t="shared" si="23"/>
        <v>7460000</v>
      </c>
      <c r="L43" s="40">
        <f t="shared" si="23"/>
        <v>24900000</v>
      </c>
      <c r="M43" s="40">
        <f t="shared" si="23"/>
        <v>7600000</v>
      </c>
      <c r="N43" s="153">
        <f t="shared" si="23"/>
        <v>716449650</v>
      </c>
      <c r="O43" s="302">
        <f t="shared" si="23"/>
        <v>718636620</v>
      </c>
      <c r="P43" s="302">
        <f t="shared" si="23"/>
        <v>244903650</v>
      </c>
      <c r="Q43" s="1198" t="s">
        <v>210</v>
      </c>
      <c r="R43" s="1199"/>
      <c r="S43" s="37"/>
      <c r="T43" s="37"/>
      <c r="U43" s="40">
        <f aca="true" t="shared" si="24" ref="U43:AC43">SUM(U3:U41)</f>
        <v>59886385.00000001</v>
      </c>
      <c r="V43" s="40">
        <f t="shared" si="24"/>
        <v>1766540</v>
      </c>
      <c r="W43" s="40">
        <f t="shared" si="24"/>
        <v>115590</v>
      </c>
      <c r="X43" s="40">
        <f t="shared" si="24"/>
        <v>2694810</v>
      </c>
      <c r="Y43" s="40">
        <f t="shared" si="24"/>
        <v>269360</v>
      </c>
      <c r="Z43" s="40">
        <f t="shared" si="24"/>
        <v>880000</v>
      </c>
      <c r="AA43" s="40">
        <f t="shared" si="24"/>
        <v>598770</v>
      </c>
      <c r="AB43" s="40">
        <f t="shared" si="24"/>
        <v>6325070</v>
      </c>
      <c r="AC43" s="44">
        <f t="shared" si="24"/>
        <v>51125874.16666667</v>
      </c>
      <c r="AD43" s="210">
        <f>SUM(AD3:AD41)</f>
        <v>75900840</v>
      </c>
    </row>
    <row r="44" spans="1:29" ht="22.5" customHeight="1" thickBot="1">
      <c r="A44" s="1200" t="s">
        <v>211</v>
      </c>
      <c r="B44" s="1201"/>
      <c r="C44" s="1201"/>
      <c r="D44" s="1201"/>
      <c r="E44" s="1201"/>
      <c r="F44" s="1201"/>
      <c r="G44" s="1202"/>
      <c r="H44" s="352">
        <f>N43</f>
        <v>716449650</v>
      </c>
      <c r="I44" s="242"/>
      <c r="J44" s="41"/>
      <c r="K44" s="41"/>
      <c r="L44" s="41"/>
      <c r="M44" s="41"/>
      <c r="N44" s="41"/>
      <c r="O44" s="41"/>
      <c r="P44" s="41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20.25" customHeight="1">
      <c r="A45" s="1227" t="s">
        <v>212</v>
      </c>
      <c r="B45" s="1228"/>
      <c r="C45" s="1226">
        <f>N43</f>
        <v>716449650</v>
      </c>
      <c r="D45" s="1226"/>
      <c r="E45" s="25">
        <v>0.08333333333333333</v>
      </c>
      <c r="F45" s="25"/>
      <c r="G45" s="377"/>
      <c r="H45" s="26">
        <f aca="true" t="shared" si="25" ref="H45:H50">ROUNDDOWN((C45*E45),-1)</f>
        <v>59704130</v>
      </c>
      <c r="I45" s="243">
        <f>E3+E5+E7+E9+E12+E13+E15+E17+E19+E20+E22+E31+E33+E35+E37+E40+E41</f>
        <v>32226000</v>
      </c>
      <c r="J45" s="280">
        <f>E3+E5+E7+E9+E12+E13+E19+E33+E37+E41+E15+E17+E31+E29+E30+E20+E22+E24+E26+E35+E39</f>
        <v>39176000</v>
      </c>
      <c r="K45" s="1209">
        <f>J45*0.5</f>
        <v>19588000</v>
      </c>
      <c r="L45" s="1209"/>
      <c r="M45" s="250">
        <f>K45*0.5</f>
        <v>9794000</v>
      </c>
      <c r="N45" s="10"/>
      <c r="O45" s="10"/>
      <c r="P45" s="10"/>
      <c r="Q45" s="14"/>
      <c r="R45" s="10"/>
      <c r="S45" s="10"/>
      <c r="T45" s="10"/>
      <c r="U45" s="12"/>
      <c r="V45" s="12"/>
      <c r="W45" s="12"/>
      <c r="X45" s="15"/>
      <c r="Y45" s="15"/>
      <c r="Z45" s="15"/>
      <c r="AA45" s="15"/>
      <c r="AB45" s="15"/>
      <c r="AC45" s="15"/>
    </row>
    <row r="46" spans="1:29" ht="20.25" customHeight="1">
      <c r="A46" s="1211" t="s">
        <v>213</v>
      </c>
      <c r="B46" s="1212"/>
      <c r="C46" s="1195">
        <f>N43</f>
        <v>716449650</v>
      </c>
      <c r="D46" s="1195"/>
      <c r="E46" s="19">
        <v>0.0295</v>
      </c>
      <c r="F46" s="19"/>
      <c r="G46" s="20"/>
      <c r="H46" s="27">
        <f t="shared" si="25"/>
        <v>21135260</v>
      </c>
      <c r="I46" s="243" t="e">
        <f>E4+E6+E8+E10+E12+E14+E16+E18+E20+E22+E25+E32+E34+E36+E38+#REF!+E41+E26+E29+E30+E19</f>
        <v>#REF!</v>
      </c>
      <c r="J46" s="280">
        <f>E4+E6+E8+E10+E12+E14+E19+E21+E23+E32+E34+E36+E41+E16+E18+E40+E25+E27+E29+E30+E38</f>
        <v>40303000</v>
      </c>
      <c r="K46" s="1209">
        <f>J46*0.5</f>
        <v>20151500</v>
      </c>
      <c r="L46" s="1210"/>
      <c r="M46" s="250">
        <f>K46*0.5</f>
        <v>10075750</v>
      </c>
      <c r="N46" s="10"/>
      <c r="O46" s="10"/>
      <c r="P46" s="10"/>
      <c r="Q46" s="13"/>
      <c r="R46" s="11"/>
      <c r="S46" s="11"/>
      <c r="T46" s="11"/>
      <c r="U46" s="12"/>
      <c r="V46" s="12"/>
      <c r="W46" s="12"/>
      <c r="X46" s="15"/>
      <c r="Y46" s="15"/>
      <c r="Z46" s="15"/>
      <c r="AA46" s="15"/>
      <c r="AB46" s="15"/>
      <c r="AC46" s="15"/>
    </row>
    <row r="47" spans="1:29" ht="20.25" customHeight="1">
      <c r="A47" s="1211" t="s">
        <v>214</v>
      </c>
      <c r="B47" s="1212"/>
      <c r="C47" s="1195">
        <f>H46</f>
        <v>21135260</v>
      </c>
      <c r="D47" s="1195"/>
      <c r="E47" s="19">
        <v>0.0655</v>
      </c>
      <c r="F47" s="19"/>
      <c r="G47" s="20"/>
      <c r="H47" s="27">
        <f t="shared" si="25"/>
        <v>1384350</v>
      </c>
      <c r="I47" s="244"/>
      <c r="J47" s="280">
        <f>SUM(J45:J46)</f>
        <v>79479000</v>
      </c>
      <c r="K47" s="281">
        <f>SUM(K45:K46)</f>
        <v>39739500</v>
      </c>
      <c r="L47" s="282">
        <f>SUM(K47)</f>
        <v>39739500</v>
      </c>
      <c r="M47" s="252">
        <f>SUM(M45:M46)</f>
        <v>19869750</v>
      </c>
      <c r="N47" s="10"/>
      <c r="O47" s="10"/>
      <c r="P47" s="10"/>
      <c r="Q47" s="13"/>
      <c r="R47" s="11"/>
      <c r="S47" s="11"/>
      <c r="T47" s="11"/>
      <c r="U47" s="12"/>
      <c r="V47" s="12"/>
      <c r="W47" s="12"/>
      <c r="X47" s="15"/>
      <c r="Y47" s="15"/>
      <c r="Z47" s="15"/>
      <c r="AA47" s="15"/>
      <c r="AB47" s="15"/>
      <c r="AC47" s="15"/>
    </row>
    <row r="48" spans="1:29" ht="20.25" customHeight="1">
      <c r="A48" s="1211" t="s">
        <v>215</v>
      </c>
      <c r="B48" s="1212"/>
      <c r="C48" s="1195">
        <f>C45</f>
        <v>716449650</v>
      </c>
      <c r="D48" s="1195"/>
      <c r="E48" s="19">
        <v>0.045</v>
      </c>
      <c r="F48" s="22"/>
      <c r="G48" s="20"/>
      <c r="H48" s="27">
        <f t="shared" si="25"/>
        <v>32240230</v>
      </c>
      <c r="I48" s="244"/>
      <c r="J48" s="280">
        <f>H44+H51</f>
        <v>842233510</v>
      </c>
      <c r="K48" s="251"/>
      <c r="L48" s="282">
        <f>L47-H43</f>
        <v>-5020500</v>
      </c>
      <c r="M48" s="251"/>
      <c r="N48" s="11"/>
      <c r="O48" s="11"/>
      <c r="P48" s="11"/>
      <c r="Q48" s="13"/>
      <c r="R48" s="11"/>
      <c r="S48" s="11"/>
      <c r="T48" s="11"/>
      <c r="U48" s="12"/>
      <c r="V48" s="12"/>
      <c r="W48" s="12"/>
      <c r="X48" s="15"/>
      <c r="Y48" s="15"/>
      <c r="Z48" s="15"/>
      <c r="AA48" s="15"/>
      <c r="AB48" s="15"/>
      <c r="AC48" s="15"/>
    </row>
    <row r="49" spans="1:29" ht="20.25" customHeight="1">
      <c r="A49" s="1211" t="s">
        <v>216</v>
      </c>
      <c r="B49" s="1212"/>
      <c r="C49" s="1195">
        <f>C45</f>
        <v>716449650</v>
      </c>
      <c r="D49" s="1195"/>
      <c r="E49" s="19">
        <v>0.0078</v>
      </c>
      <c r="F49" s="22"/>
      <c r="G49" s="376"/>
      <c r="H49" s="27">
        <f t="shared" si="25"/>
        <v>5588300</v>
      </c>
      <c r="I49" s="244"/>
      <c r="J49" s="258"/>
      <c r="K49" s="251"/>
      <c r="L49" s="251"/>
      <c r="M49" s="251"/>
      <c r="N49" s="11"/>
      <c r="O49" s="11"/>
      <c r="P49" s="11"/>
      <c r="Q49" s="13"/>
      <c r="R49" s="11"/>
      <c r="S49" s="11"/>
      <c r="T49" s="11"/>
      <c r="U49" s="12"/>
      <c r="V49" s="12"/>
      <c r="W49" s="12"/>
      <c r="X49" s="15"/>
      <c r="Y49" s="15"/>
      <c r="Z49" s="15"/>
      <c r="AA49" s="15"/>
      <c r="AB49" s="15"/>
      <c r="AC49" s="15"/>
    </row>
    <row r="50" spans="1:29" ht="20.25" customHeight="1">
      <c r="A50" s="1211" t="s">
        <v>217</v>
      </c>
      <c r="B50" s="1212"/>
      <c r="C50" s="1195">
        <f>C45</f>
        <v>716449650</v>
      </c>
      <c r="D50" s="1195"/>
      <c r="E50" s="19">
        <v>0.008</v>
      </c>
      <c r="F50" s="22"/>
      <c r="G50" s="376"/>
      <c r="H50" s="27">
        <f t="shared" si="25"/>
        <v>5731590</v>
      </c>
      <c r="I50" s="244"/>
      <c r="J50" s="258"/>
      <c r="K50" s="251"/>
      <c r="L50" s="251"/>
      <c r="M50" s="251"/>
      <c r="N50" s="11"/>
      <c r="O50" s="11"/>
      <c r="P50" s="11"/>
      <c r="Q50" s="13"/>
      <c r="R50" s="11"/>
      <c r="S50" s="11"/>
      <c r="T50" s="11"/>
      <c r="U50" s="12"/>
      <c r="V50" s="12"/>
      <c r="W50" s="12"/>
      <c r="X50" s="15"/>
      <c r="Y50" s="15"/>
      <c r="Z50" s="15"/>
      <c r="AA50" s="15"/>
      <c r="AB50" s="15"/>
      <c r="AC50" s="15"/>
    </row>
    <row r="51" spans="1:29" ht="56.25" customHeight="1" thickBot="1">
      <c r="A51" s="1205" t="s">
        <v>218</v>
      </c>
      <c r="B51" s="1206"/>
      <c r="C51" s="1207"/>
      <c r="D51" s="1208"/>
      <c r="E51" s="33"/>
      <c r="F51" s="33"/>
      <c r="G51" s="34"/>
      <c r="H51" s="35">
        <f>SUM(H45:H50)</f>
        <v>125783860</v>
      </c>
      <c r="I51" s="242"/>
      <c r="J51" s="254">
        <f>H44+H51</f>
        <v>842233510</v>
      </c>
      <c r="K51" s="253"/>
      <c r="L51" s="254"/>
      <c r="M51" s="254"/>
      <c r="N51" s="41"/>
      <c r="O51" s="41"/>
      <c r="P51" s="41"/>
      <c r="Q51" s="42"/>
      <c r="R51" s="42"/>
      <c r="S51" s="42"/>
      <c r="T51" s="42"/>
      <c r="U51" s="42"/>
      <c r="V51" s="42"/>
      <c r="W51" s="15"/>
      <c r="X51" s="15"/>
      <c r="Y51" s="15"/>
      <c r="Z51" s="15"/>
      <c r="AA51" s="15"/>
      <c r="AB51" s="15"/>
      <c r="AC51" s="15"/>
    </row>
    <row r="52" spans="1:29" ht="20.25" customHeight="1">
      <c r="A52" s="1213" t="s">
        <v>219</v>
      </c>
      <c r="B52" s="1214"/>
      <c r="C52" s="135" t="s">
        <v>220</v>
      </c>
      <c r="D52" s="135" t="s">
        <v>221</v>
      </c>
      <c r="E52" s="135" t="s">
        <v>222</v>
      </c>
      <c r="F52" s="135"/>
      <c r="G52" s="135" t="s">
        <v>223</v>
      </c>
      <c r="H52" s="273" t="s">
        <v>210</v>
      </c>
      <c r="I52" s="370"/>
      <c r="J52" s="255"/>
      <c r="K52" s="255"/>
      <c r="L52" s="255"/>
      <c r="M52" s="255"/>
      <c r="N52" s="42"/>
      <c r="O52" s="42"/>
      <c r="P52" s="42"/>
      <c r="Q52" s="42"/>
      <c r="R52" s="42"/>
      <c r="S52" s="42"/>
      <c r="T52" s="42"/>
      <c r="U52" s="42"/>
      <c r="V52" s="42"/>
      <c r="W52" s="15"/>
      <c r="X52" s="15"/>
      <c r="Y52" s="15"/>
      <c r="Z52" s="15"/>
      <c r="AA52" s="15"/>
      <c r="AB52" s="15"/>
      <c r="AC52" s="15"/>
    </row>
    <row r="53" spans="1:29" ht="20.25" customHeight="1">
      <c r="A53" s="1215" t="s">
        <v>224</v>
      </c>
      <c r="B53" s="1216"/>
      <c r="C53" s="1221" t="s">
        <v>225</v>
      </c>
      <c r="D53" s="1224">
        <v>40779000</v>
      </c>
      <c r="E53" s="1225"/>
      <c r="F53" s="372"/>
      <c r="G53" s="372">
        <v>2</v>
      </c>
      <c r="H53" s="193">
        <f>D53/G53</f>
        <v>20389500</v>
      </c>
      <c r="I53" s="245"/>
      <c r="J53" s="255"/>
      <c r="K53" s="255"/>
      <c r="L53" s="255"/>
      <c r="M53" s="255"/>
      <c r="N53" s="42"/>
      <c r="O53" s="42"/>
      <c r="P53" s="42"/>
      <c r="Q53" s="42"/>
      <c r="R53" s="42"/>
      <c r="S53" s="42"/>
      <c r="T53" s="42"/>
      <c r="U53" s="42"/>
      <c r="V53" s="42"/>
      <c r="W53" s="15"/>
      <c r="X53" s="15"/>
      <c r="Y53" s="15"/>
      <c r="Z53" s="15"/>
      <c r="AA53" s="15"/>
      <c r="AB53" s="15"/>
      <c r="AC53" s="15"/>
    </row>
    <row r="54" spans="1:29" ht="20.25" customHeight="1">
      <c r="A54" s="1217"/>
      <c r="B54" s="1218"/>
      <c r="C54" s="1222"/>
      <c r="D54" s="17">
        <v>50920</v>
      </c>
      <c r="E54" s="17">
        <v>30</v>
      </c>
      <c r="F54" s="17"/>
      <c r="G54" s="17">
        <v>6</v>
      </c>
      <c r="H54" s="18">
        <f>D54*E54*G54</f>
        <v>9165600</v>
      </c>
      <c r="I54" s="246"/>
      <c r="J54" s="259"/>
      <c r="K54" s="255"/>
      <c r="L54" s="255"/>
      <c r="M54" s="255"/>
      <c r="N54" s="42"/>
      <c r="O54" s="42"/>
      <c r="P54" s="42"/>
      <c r="Q54" s="42"/>
      <c r="R54" s="42"/>
      <c r="S54" s="42"/>
      <c r="T54" s="42"/>
      <c r="U54" s="42"/>
      <c r="V54" s="42"/>
      <c r="W54" s="15"/>
      <c r="X54" s="15"/>
      <c r="Y54" s="15"/>
      <c r="Z54" s="15"/>
      <c r="AA54" s="15"/>
      <c r="AB54" s="15"/>
      <c r="AC54" s="15"/>
    </row>
    <row r="55" spans="1:29" ht="20.25" customHeight="1">
      <c r="A55" s="1217"/>
      <c r="B55" s="1218"/>
      <c r="C55" s="1222"/>
      <c r="D55" s="17">
        <v>164170</v>
      </c>
      <c r="E55" s="17">
        <v>27</v>
      </c>
      <c r="F55" s="17"/>
      <c r="G55" s="17">
        <v>6</v>
      </c>
      <c r="H55" s="18">
        <f>D55*E55*G55</f>
        <v>26595540</v>
      </c>
      <c r="I55" s="246"/>
      <c r="J55" s="259"/>
      <c r="K55" s="255"/>
      <c r="L55" s="255"/>
      <c r="M55" s="255"/>
      <c r="N55" s="42"/>
      <c r="O55" s="42"/>
      <c r="P55" s="42"/>
      <c r="Q55" s="42"/>
      <c r="R55" s="42"/>
      <c r="S55" s="42"/>
      <c r="T55" s="42"/>
      <c r="U55" s="42"/>
      <c r="V55" s="42"/>
      <c r="W55" s="15"/>
      <c r="X55" s="15"/>
      <c r="Y55" s="15"/>
      <c r="Z55" s="15"/>
      <c r="AA55" s="15"/>
      <c r="AB55" s="15"/>
      <c r="AC55" s="15"/>
    </row>
    <row r="56" spans="1:29" ht="20.25" customHeight="1">
      <c r="A56" s="1219"/>
      <c r="B56" s="1220"/>
      <c r="C56" s="1223"/>
      <c r="D56" s="17">
        <v>49416</v>
      </c>
      <c r="E56" s="17">
        <v>30</v>
      </c>
      <c r="F56" s="17"/>
      <c r="G56" s="17"/>
      <c r="H56" s="18">
        <f>D56*E56*G56</f>
        <v>0</v>
      </c>
      <c r="I56" s="246"/>
      <c r="J56" s="259"/>
      <c r="K56" s="255"/>
      <c r="L56" s="255"/>
      <c r="M56" s="255"/>
      <c r="N56" s="42"/>
      <c r="O56" s="42"/>
      <c r="P56" s="42"/>
      <c r="Q56" s="42"/>
      <c r="R56" s="42"/>
      <c r="S56" s="42"/>
      <c r="T56" s="42"/>
      <c r="U56" s="42"/>
      <c r="V56" s="42"/>
      <c r="W56" s="15"/>
      <c r="X56" s="15"/>
      <c r="Y56" s="15"/>
      <c r="Z56" s="15"/>
      <c r="AA56" s="15"/>
      <c r="AB56" s="15"/>
      <c r="AC56" s="15"/>
    </row>
    <row r="57" spans="1:29" ht="20.25" customHeight="1" thickBot="1">
      <c r="A57" s="1203" t="s">
        <v>210</v>
      </c>
      <c r="B57" s="1204"/>
      <c r="C57" s="274"/>
      <c r="D57" s="275"/>
      <c r="E57" s="275"/>
      <c r="F57" s="275"/>
      <c r="G57" s="275"/>
      <c r="H57" s="276">
        <f>SUM(H53:H56)</f>
        <v>56150640</v>
      </c>
      <c r="I57" s="247"/>
      <c r="J57" s="259"/>
      <c r="K57" s="256"/>
      <c r="L57" s="256"/>
      <c r="M57" s="25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20.25" customHeight="1">
      <c r="A58" s="1233" t="s">
        <v>226</v>
      </c>
      <c r="B58" s="1234"/>
      <c r="C58" s="277" t="s">
        <v>220</v>
      </c>
      <c r="D58" s="277" t="s">
        <v>221</v>
      </c>
      <c r="E58" s="277" t="s">
        <v>222</v>
      </c>
      <c r="F58" s="277"/>
      <c r="G58" s="277" t="s">
        <v>223</v>
      </c>
      <c r="H58" s="278" t="s">
        <v>210</v>
      </c>
      <c r="I58" s="370"/>
      <c r="J58" s="259"/>
      <c r="K58" s="256"/>
      <c r="L58" s="256"/>
      <c r="M58" s="25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20.25" customHeight="1">
      <c r="A59" s="1197" t="s">
        <v>227</v>
      </c>
      <c r="B59" s="1196"/>
      <c r="C59" s="1196" t="s">
        <v>228</v>
      </c>
      <c r="D59" s="17">
        <v>127882</v>
      </c>
      <c r="E59" s="17">
        <v>19</v>
      </c>
      <c r="F59" s="17"/>
      <c r="G59" s="17">
        <v>5</v>
      </c>
      <c r="H59" s="18">
        <f aca="true" t="shared" si="26" ref="H59:H64">ROUNDDOWN((D59*E59*G59),-1)</f>
        <v>12148790</v>
      </c>
      <c r="I59" s="246"/>
      <c r="J59" s="259"/>
      <c r="K59" s="256"/>
      <c r="L59" s="256"/>
      <c r="M59" s="25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20.25" customHeight="1">
      <c r="A60" s="1197"/>
      <c r="B60" s="1196"/>
      <c r="C60" s="1196"/>
      <c r="D60" s="17">
        <v>127882</v>
      </c>
      <c r="E60" s="17">
        <v>19</v>
      </c>
      <c r="F60" s="17"/>
      <c r="G60" s="17">
        <v>3</v>
      </c>
      <c r="H60" s="18">
        <f t="shared" si="26"/>
        <v>7289270</v>
      </c>
      <c r="I60" s="246"/>
      <c r="J60" s="259"/>
      <c r="K60" s="256"/>
      <c r="L60" s="256"/>
      <c r="M60" s="25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20.25" customHeight="1">
      <c r="A61" s="1197"/>
      <c r="B61" s="1196"/>
      <c r="C61" s="1196"/>
      <c r="D61" s="17">
        <v>127882</v>
      </c>
      <c r="E61" s="17">
        <v>19</v>
      </c>
      <c r="F61" s="17"/>
      <c r="G61" s="17">
        <v>3</v>
      </c>
      <c r="H61" s="18">
        <f t="shared" si="26"/>
        <v>7289270</v>
      </c>
      <c r="I61" s="246"/>
      <c r="J61" s="259"/>
      <c r="K61" s="256"/>
      <c r="L61" s="256"/>
      <c r="M61" s="25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20.25" customHeight="1">
      <c r="A62" s="1197" t="s">
        <v>229</v>
      </c>
      <c r="B62" s="1196"/>
      <c r="C62" s="1196" t="s">
        <v>228</v>
      </c>
      <c r="D62" s="17">
        <v>12996</v>
      </c>
      <c r="E62" s="17">
        <v>19</v>
      </c>
      <c r="F62" s="17"/>
      <c r="G62" s="17">
        <v>3</v>
      </c>
      <c r="H62" s="18">
        <f t="shared" si="26"/>
        <v>740770</v>
      </c>
      <c r="I62" s="246"/>
      <c r="J62" s="259"/>
      <c r="K62" s="256"/>
      <c r="L62" s="256"/>
      <c r="M62" s="25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20.25" customHeight="1">
      <c r="A63" s="1197"/>
      <c r="B63" s="1196"/>
      <c r="C63" s="1196"/>
      <c r="D63" s="17">
        <v>12996</v>
      </c>
      <c r="E63" s="17">
        <v>19</v>
      </c>
      <c r="F63" s="17"/>
      <c r="G63" s="17">
        <v>3</v>
      </c>
      <c r="H63" s="18">
        <f t="shared" si="26"/>
        <v>740770</v>
      </c>
      <c r="I63" s="246"/>
      <c r="J63" s="259"/>
      <c r="K63" s="256"/>
      <c r="L63" s="256">
        <f>20*0.7</f>
        <v>14</v>
      </c>
      <c r="M63" s="25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20.25" customHeight="1">
      <c r="A64" s="1197"/>
      <c r="B64" s="1196"/>
      <c r="C64" s="1196"/>
      <c r="D64" s="17">
        <v>12996</v>
      </c>
      <c r="E64" s="17">
        <v>19</v>
      </c>
      <c r="F64" s="17"/>
      <c r="G64" s="17">
        <v>3</v>
      </c>
      <c r="H64" s="18">
        <f t="shared" si="26"/>
        <v>740770</v>
      </c>
      <c r="I64" s="246"/>
      <c r="J64" s="259"/>
      <c r="K64" s="256"/>
      <c r="L64" s="256">
        <f>30*0.7</f>
        <v>21</v>
      </c>
      <c r="M64" s="25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20.25" customHeight="1">
      <c r="A65" s="1235" t="s">
        <v>230</v>
      </c>
      <c r="B65" s="1236"/>
      <c r="C65" s="138"/>
      <c r="D65" s="191"/>
      <c r="E65" s="191"/>
      <c r="F65" s="191"/>
      <c r="G65" s="191"/>
      <c r="H65" s="192">
        <v>500000</v>
      </c>
      <c r="I65" s="246"/>
      <c r="J65" s="259"/>
      <c r="K65" s="256"/>
      <c r="L65" s="256">
        <v>9</v>
      </c>
      <c r="M65" s="25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20.25" customHeight="1">
      <c r="A66" s="1197" t="s">
        <v>231</v>
      </c>
      <c r="B66" s="1196"/>
      <c r="C66" s="373" t="s">
        <v>225</v>
      </c>
      <c r="D66" s="17">
        <v>19189</v>
      </c>
      <c r="E66" s="17">
        <v>19</v>
      </c>
      <c r="F66" s="17"/>
      <c r="G66" s="17"/>
      <c r="H66" s="18">
        <f>D66*E66</f>
        <v>364591</v>
      </c>
      <c r="I66" s="246"/>
      <c r="J66" s="259"/>
      <c r="K66" s="256"/>
      <c r="L66" s="256"/>
      <c r="M66" s="25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ht="20.25" customHeight="1">
      <c r="A67" s="1197" t="s">
        <v>232</v>
      </c>
      <c r="B67" s="1196"/>
      <c r="C67" s="373" t="s">
        <v>225</v>
      </c>
      <c r="D67" s="17">
        <v>25772</v>
      </c>
      <c r="E67" s="17">
        <v>19</v>
      </c>
      <c r="F67" s="17"/>
      <c r="G67" s="17"/>
      <c r="H67" s="18">
        <f>D67*E67</f>
        <v>489668</v>
      </c>
      <c r="I67" s="246"/>
      <c r="J67" s="259"/>
      <c r="K67" s="256"/>
      <c r="L67" s="256"/>
      <c r="M67" s="25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ht="20.25" customHeight="1">
      <c r="A68" s="1237" t="s">
        <v>233</v>
      </c>
      <c r="B68" s="1238"/>
      <c r="C68" s="1148" t="s">
        <v>234</v>
      </c>
      <c r="D68" s="17">
        <v>26590</v>
      </c>
      <c r="E68" s="17">
        <v>19</v>
      </c>
      <c r="F68" s="17"/>
      <c r="G68" s="17"/>
      <c r="H68" s="18">
        <f>D68*E68</f>
        <v>505210</v>
      </c>
      <c r="I68" s="246"/>
      <c r="J68" s="259"/>
      <c r="K68" s="256"/>
      <c r="L68" s="256"/>
      <c r="M68" s="25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ht="20.25" customHeight="1">
      <c r="A69" s="1239"/>
      <c r="B69" s="1240"/>
      <c r="C69" s="1230"/>
      <c r="D69" s="17">
        <v>26590</v>
      </c>
      <c r="E69" s="17">
        <v>19</v>
      </c>
      <c r="F69" s="17"/>
      <c r="G69" s="17"/>
      <c r="H69" s="18">
        <f>D69*E69</f>
        <v>505210</v>
      </c>
      <c r="I69" s="246"/>
      <c r="J69" s="259"/>
      <c r="K69" s="256"/>
      <c r="L69" s="256"/>
      <c r="M69" s="25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ht="20.25" customHeight="1" thickBot="1">
      <c r="A70" s="1203" t="s">
        <v>210</v>
      </c>
      <c r="B70" s="1204"/>
      <c r="C70" s="274"/>
      <c r="D70" s="275"/>
      <c r="E70" s="275"/>
      <c r="F70" s="275"/>
      <c r="G70" s="275"/>
      <c r="H70" s="276">
        <f>SUM(H59:H69)</f>
        <v>31314319</v>
      </c>
      <c r="I70" s="247"/>
      <c r="J70" s="259"/>
      <c r="K70" s="256"/>
      <c r="L70" s="256"/>
      <c r="M70" s="25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ht="20.25" customHeight="1">
      <c r="A71" s="1213" t="s">
        <v>235</v>
      </c>
      <c r="B71" s="1214"/>
      <c r="C71" s="135" t="s">
        <v>220</v>
      </c>
      <c r="D71" s="135" t="s">
        <v>221</v>
      </c>
      <c r="E71" s="135" t="s">
        <v>222</v>
      </c>
      <c r="F71" s="135"/>
      <c r="G71" s="135" t="s">
        <v>223</v>
      </c>
      <c r="H71" s="273" t="s">
        <v>210</v>
      </c>
      <c r="I71" s="370"/>
      <c r="J71" s="259"/>
      <c r="K71" s="256"/>
      <c r="L71" s="256"/>
      <c r="M71" s="25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ht="20.25" customHeight="1">
      <c r="A72" s="1229" t="s">
        <v>236</v>
      </c>
      <c r="B72" s="1230"/>
      <c r="C72" s="372"/>
      <c r="D72" s="17">
        <v>50000</v>
      </c>
      <c r="E72" s="17">
        <v>30</v>
      </c>
      <c r="F72" s="149"/>
      <c r="G72" s="149"/>
      <c r="H72" s="18">
        <f>D72*E72</f>
        <v>1500000</v>
      </c>
      <c r="I72" s="246"/>
      <c r="J72" s="259"/>
      <c r="K72" s="256"/>
      <c r="L72" s="256"/>
      <c r="M72" s="25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ht="20.25" customHeight="1">
      <c r="A73" s="1229" t="s">
        <v>237</v>
      </c>
      <c r="B73" s="1230"/>
      <c r="C73" s="372"/>
      <c r="D73" s="17">
        <v>50000</v>
      </c>
      <c r="E73" s="17">
        <v>30</v>
      </c>
      <c r="F73" s="149"/>
      <c r="G73" s="149"/>
      <c r="H73" s="18">
        <f>D73*E73</f>
        <v>1500000</v>
      </c>
      <c r="I73" s="246"/>
      <c r="J73" s="259"/>
      <c r="K73" s="256"/>
      <c r="L73" s="256"/>
      <c r="M73" s="25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ht="20.25" customHeight="1">
      <c r="A74" s="1229" t="s">
        <v>238</v>
      </c>
      <c r="B74" s="1230"/>
      <c r="C74" s="372"/>
      <c r="D74" s="17">
        <v>15000</v>
      </c>
      <c r="E74" s="17">
        <v>30</v>
      </c>
      <c r="F74" s="149"/>
      <c r="G74" s="149"/>
      <c r="H74" s="18">
        <f>D74*E74</f>
        <v>450000</v>
      </c>
      <c r="I74" s="246"/>
      <c r="J74" s="259"/>
      <c r="K74" s="256"/>
      <c r="L74" s="256"/>
      <c r="M74" s="25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ht="20.25" customHeight="1">
      <c r="A75" s="371"/>
      <c r="B75" s="372" t="s">
        <v>239</v>
      </c>
      <c r="C75" s="372"/>
      <c r="D75" s="17">
        <v>15000</v>
      </c>
      <c r="E75" s="17">
        <v>30</v>
      </c>
      <c r="F75" s="149"/>
      <c r="G75" s="149"/>
      <c r="H75" s="18">
        <f>D75*E75</f>
        <v>450000</v>
      </c>
      <c r="I75" s="246"/>
      <c r="J75" s="259"/>
      <c r="K75" s="256"/>
      <c r="L75" s="256"/>
      <c r="M75" s="25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ht="13.5">
      <c r="A76" s="1229" t="s">
        <v>240</v>
      </c>
      <c r="B76" s="1230"/>
      <c r="C76" s="372"/>
      <c r="D76" s="17">
        <v>1500000</v>
      </c>
      <c r="E76" s="17">
        <v>1</v>
      </c>
      <c r="F76" s="149"/>
      <c r="G76" s="149"/>
      <c r="H76" s="18">
        <f>D76*E76</f>
        <v>1500000</v>
      </c>
      <c r="I76" s="246"/>
      <c r="J76" s="255"/>
      <c r="K76" s="256"/>
      <c r="L76" s="256"/>
      <c r="M76" s="25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 ht="14.25" thickBot="1">
      <c r="A77" s="1203" t="s">
        <v>210</v>
      </c>
      <c r="B77" s="1204"/>
      <c r="C77" s="374"/>
      <c r="D77" s="374"/>
      <c r="E77" s="374"/>
      <c r="F77" s="374"/>
      <c r="G77" s="374"/>
      <c r="H77" s="279">
        <f>SUM(H72:H76)</f>
        <v>5400000</v>
      </c>
      <c r="I77" s="248"/>
      <c r="J77" s="254">
        <f>H57+H77</f>
        <v>61550640</v>
      </c>
      <c r="K77" s="256"/>
      <c r="L77" s="256"/>
      <c r="M77" s="25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 ht="15" thickBot="1">
      <c r="A78" s="1231" t="s">
        <v>241</v>
      </c>
      <c r="B78" s="1232"/>
      <c r="C78" s="1232"/>
      <c r="D78" s="1232"/>
      <c r="E78" s="1232"/>
      <c r="F78" s="1232"/>
      <c r="G78" s="1232"/>
      <c r="H78" s="36">
        <f>H51+H57+H77+H44+H70</f>
        <v>935098469</v>
      </c>
      <c r="I78" s="249"/>
      <c r="J78" s="255"/>
      <c r="K78" s="256"/>
      <c r="L78" s="256"/>
      <c r="M78" s="25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10:13" ht="13.5">
      <c r="J79" s="257"/>
      <c r="K79" s="257"/>
      <c r="L79" s="257"/>
      <c r="M79" s="257"/>
    </row>
  </sheetData>
  <mergeCells count="49">
    <mergeCell ref="B11:B12"/>
    <mergeCell ref="C11:C12"/>
    <mergeCell ref="A11:A12"/>
    <mergeCell ref="A28:A29"/>
    <mergeCell ref="C41:C42"/>
    <mergeCell ref="A76:B76"/>
    <mergeCell ref="A77:B77"/>
    <mergeCell ref="A78:G78"/>
    <mergeCell ref="A58:B58"/>
    <mergeCell ref="A62:B64"/>
    <mergeCell ref="C62:C64"/>
    <mergeCell ref="A65:B65"/>
    <mergeCell ref="A66:B66"/>
    <mergeCell ref="A73:B73"/>
    <mergeCell ref="A71:B71"/>
    <mergeCell ref="A68:B69"/>
    <mergeCell ref="C68:C69"/>
    <mergeCell ref="A72:B72"/>
    <mergeCell ref="A70:B70"/>
    <mergeCell ref="A67:B67"/>
    <mergeCell ref="A74:B74"/>
    <mergeCell ref="A49:B49"/>
    <mergeCell ref="C45:D45"/>
    <mergeCell ref="A46:B46"/>
    <mergeCell ref="A47:B47"/>
    <mergeCell ref="A45:B45"/>
    <mergeCell ref="A48:B48"/>
    <mergeCell ref="C49:D49"/>
    <mergeCell ref="C50:D50"/>
    <mergeCell ref="A52:B52"/>
    <mergeCell ref="A53:B56"/>
    <mergeCell ref="C53:C56"/>
    <mergeCell ref="D53:E53"/>
    <mergeCell ref="A1:N1"/>
    <mergeCell ref="Q1:AC1"/>
    <mergeCell ref="C48:D48"/>
    <mergeCell ref="C59:C61"/>
    <mergeCell ref="A59:B61"/>
    <mergeCell ref="A43:B43"/>
    <mergeCell ref="A44:G44"/>
    <mergeCell ref="A57:B57"/>
    <mergeCell ref="A51:B51"/>
    <mergeCell ref="C51:D51"/>
    <mergeCell ref="C47:D47"/>
    <mergeCell ref="C46:D46"/>
    <mergeCell ref="Q43:R43"/>
    <mergeCell ref="K45:L45"/>
    <mergeCell ref="K46:L46"/>
    <mergeCell ref="A50:B50"/>
  </mergeCells>
  <printOptions/>
  <pageMargins left="0.36" right="0.34" top="0.53" bottom="0.22" header="0.5" footer="0.17"/>
  <pageSetup horizontalDpi="600" verticalDpi="600" orientation="landscape" paperSize="9" scale="65" r:id="rId1"/>
  <colBreaks count="1" manualBreakCount="1">
    <brk id="16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2"/>
  <sheetViews>
    <sheetView workbookViewId="0" topLeftCell="Y1">
      <selection activeCell="AJ5" sqref="AJ5:AJ44"/>
    </sheetView>
  </sheetViews>
  <sheetFormatPr defaultColWidth="8.88671875" defaultRowHeight="13.5"/>
  <cols>
    <col min="1" max="1" width="2.99609375" style="0" customWidth="1"/>
    <col min="2" max="2" width="8.99609375" style="0" customWidth="1"/>
    <col min="3" max="3" width="6.5546875" style="0" customWidth="1"/>
    <col min="4" max="5" width="5.6640625" style="0" customWidth="1"/>
    <col min="6" max="6" width="4.21484375" style="0" customWidth="1"/>
    <col min="7" max="7" width="12.21484375" style="0" customWidth="1"/>
    <col min="8" max="8" width="4.3359375" style="0" customWidth="1"/>
    <col min="9" max="9" width="13.99609375" style="0" customWidth="1"/>
    <col min="10" max="10" width="12.99609375" style="0" customWidth="1"/>
    <col min="11" max="11" width="11.99609375" style="0" customWidth="1"/>
    <col min="12" max="12" width="12.99609375" style="0" customWidth="1"/>
    <col min="13" max="13" width="10.10546875" style="0" customWidth="1"/>
    <col min="14" max="14" width="12.5546875" style="0" customWidth="1"/>
    <col min="15" max="18" width="12.6640625" style="0" customWidth="1"/>
    <col min="19" max="19" width="4.6640625" style="0" customWidth="1"/>
    <col min="20" max="21" width="15.21484375" style="0" customWidth="1"/>
    <col min="22" max="22" width="12.77734375" style="0" customWidth="1"/>
    <col min="23" max="23" width="14.88671875" style="0" customWidth="1"/>
    <col min="24" max="24" width="12.6640625" style="0" customWidth="1"/>
    <col min="25" max="25" width="11.3359375" style="0" customWidth="1"/>
    <col min="26" max="26" width="12.88671875" style="0" customWidth="1"/>
    <col min="27" max="27" width="12.21484375" style="0" customWidth="1"/>
    <col min="28" max="28" width="12.10546875" style="0" customWidth="1"/>
    <col min="29" max="29" width="11.77734375" style="0" customWidth="1"/>
    <col min="30" max="30" width="12.21484375" style="0" customWidth="1"/>
    <col min="31" max="31" width="12.4453125" style="0" customWidth="1"/>
    <col min="32" max="32" width="12.5546875" style="0" customWidth="1"/>
    <col min="33" max="33" width="12.77734375" style="0" customWidth="1"/>
    <col min="34" max="34" width="13.21484375" style="0" customWidth="1"/>
    <col min="35" max="35" width="0.10546875" style="0" customWidth="1"/>
    <col min="36" max="36" width="15.5546875" style="0" customWidth="1"/>
    <col min="37" max="37" width="11.3359375" style="0" customWidth="1"/>
    <col min="38" max="38" width="8.88671875" style="0" customWidth="1"/>
    <col min="39" max="39" width="11.3359375" style="0" customWidth="1"/>
    <col min="40" max="40" width="11.5546875" style="0" customWidth="1"/>
    <col min="41" max="42" width="9.6640625" style="0" customWidth="1"/>
    <col min="43" max="43" width="8.88671875" style="0" customWidth="1"/>
    <col min="44" max="44" width="9.99609375" style="0" customWidth="1"/>
    <col min="45" max="45" width="11.4453125" style="0" customWidth="1"/>
    <col min="46" max="47" width="8.88671875" style="0" customWidth="1"/>
  </cols>
  <sheetData>
    <row r="1" spans="1:36" ht="84.75" customHeight="1" thickBot="1">
      <c r="A1" s="1332" t="s">
        <v>292</v>
      </c>
      <c r="B1" s="1332"/>
      <c r="C1" s="1332"/>
      <c r="D1" s="1332"/>
      <c r="E1" s="1332"/>
      <c r="F1" s="1332"/>
      <c r="G1" s="1332"/>
      <c r="H1" s="1332"/>
      <c r="I1" s="1332"/>
      <c r="J1" s="1332"/>
      <c r="K1" s="1332"/>
      <c r="L1" s="1332"/>
      <c r="M1" s="1332"/>
      <c r="N1" s="1332"/>
      <c r="O1" s="1332"/>
      <c r="P1" s="1332"/>
      <c r="Q1" s="1332"/>
      <c r="R1" s="1332"/>
      <c r="S1" s="1332"/>
      <c r="T1" s="1332"/>
      <c r="U1" s="1332"/>
      <c r="V1" s="1332"/>
      <c r="W1" s="1332"/>
      <c r="X1" s="1332"/>
      <c r="Y1" s="1332"/>
      <c r="Z1" s="1332"/>
      <c r="AA1" s="1332"/>
      <c r="AB1" s="1332"/>
      <c r="AC1" s="1332"/>
      <c r="AD1" s="1332"/>
      <c r="AE1" s="1332"/>
      <c r="AF1" s="1332"/>
      <c r="AG1" s="1332"/>
      <c r="AH1" s="1332"/>
      <c r="AI1" s="1332"/>
      <c r="AJ1" s="772"/>
    </row>
    <row r="2" spans="1:39" ht="30" customHeight="1">
      <c r="A2" s="1298" t="s">
        <v>160</v>
      </c>
      <c r="B2" s="1300" t="s">
        <v>161</v>
      </c>
      <c r="C2" s="1333" t="s">
        <v>162</v>
      </c>
      <c r="D2" s="1334"/>
      <c r="E2" s="1302" t="s">
        <v>293</v>
      </c>
      <c r="F2" s="1300" t="s">
        <v>294</v>
      </c>
      <c r="G2" s="1300" t="s">
        <v>137</v>
      </c>
      <c r="H2" s="1300" t="s">
        <v>165</v>
      </c>
      <c r="I2" s="1339" t="s">
        <v>295</v>
      </c>
      <c r="J2" s="1287" t="s">
        <v>296</v>
      </c>
      <c r="K2" s="1287"/>
      <c r="L2" s="1287"/>
      <c r="M2" s="1287"/>
      <c r="N2" s="1287"/>
      <c r="O2" s="1320" t="s">
        <v>297</v>
      </c>
      <c r="P2" s="642"/>
      <c r="Q2" s="642"/>
      <c r="R2" s="642" t="s">
        <v>298</v>
      </c>
      <c r="S2" s="642"/>
      <c r="T2" s="1323" t="s">
        <v>299</v>
      </c>
      <c r="U2" s="643"/>
      <c r="V2" s="1326" t="s">
        <v>300</v>
      </c>
      <c r="W2" s="1323" t="s">
        <v>301</v>
      </c>
      <c r="X2" s="1287" t="s">
        <v>302</v>
      </c>
      <c r="Y2" s="1287"/>
      <c r="Z2" s="1287"/>
      <c r="AA2" s="1287"/>
      <c r="AB2" s="1287"/>
      <c r="AC2" s="1287"/>
      <c r="AD2" s="1287"/>
      <c r="AE2" s="1287"/>
      <c r="AF2" s="1287"/>
      <c r="AG2" s="1329" t="s">
        <v>303</v>
      </c>
      <c r="AH2" s="1279" t="s">
        <v>304</v>
      </c>
      <c r="AI2" s="1280"/>
      <c r="AJ2" s="773"/>
      <c r="AM2" s="1318" t="s">
        <v>305</v>
      </c>
    </row>
    <row r="3" spans="1:39" ht="30" customHeight="1">
      <c r="A3" s="1299"/>
      <c r="B3" s="1301"/>
      <c r="C3" s="1335"/>
      <c r="D3" s="1336"/>
      <c r="E3" s="1303"/>
      <c r="F3" s="1301"/>
      <c r="G3" s="1301"/>
      <c r="H3" s="1301"/>
      <c r="I3" s="1340"/>
      <c r="J3" s="1283"/>
      <c r="K3" s="1283"/>
      <c r="L3" s="1283"/>
      <c r="M3" s="1283"/>
      <c r="N3" s="1283"/>
      <c r="O3" s="1321"/>
      <c r="P3" s="644" t="s">
        <v>306</v>
      </c>
      <c r="Q3" s="644" t="s">
        <v>307</v>
      </c>
      <c r="R3" s="644" t="s">
        <v>308</v>
      </c>
      <c r="S3" s="644"/>
      <c r="T3" s="1324"/>
      <c r="U3" s="645" t="s">
        <v>309</v>
      </c>
      <c r="V3" s="1327"/>
      <c r="W3" s="1324"/>
      <c r="X3" s="646">
        <v>0.03035</v>
      </c>
      <c r="Y3" s="19">
        <v>0.0655</v>
      </c>
      <c r="Z3" s="22">
        <v>0.045</v>
      </c>
      <c r="AA3" s="647"/>
      <c r="AB3" s="648">
        <v>0.0055</v>
      </c>
      <c r="AC3" s="19">
        <v>0.009</v>
      </c>
      <c r="AD3" s="648"/>
      <c r="AE3" s="19">
        <v>0.007</v>
      </c>
      <c r="AF3" s="1278" t="s">
        <v>310</v>
      </c>
      <c r="AG3" s="1330"/>
      <c r="AH3" s="1281"/>
      <c r="AI3" s="1282"/>
      <c r="AJ3" s="773"/>
      <c r="AM3" s="1319"/>
    </row>
    <row r="4" spans="1:42" ht="30" customHeight="1">
      <c r="A4" s="1299"/>
      <c r="B4" s="1301"/>
      <c r="C4" s="1337"/>
      <c r="D4" s="1338"/>
      <c r="E4" s="1304"/>
      <c r="F4" s="1301"/>
      <c r="G4" s="1301"/>
      <c r="H4" s="1301"/>
      <c r="I4" s="1341"/>
      <c r="J4" s="641" t="s">
        <v>311</v>
      </c>
      <c r="K4" s="641" t="s">
        <v>312</v>
      </c>
      <c r="L4" s="641" t="s">
        <v>313</v>
      </c>
      <c r="M4" s="641" t="s">
        <v>314</v>
      </c>
      <c r="N4" s="649" t="s">
        <v>315</v>
      </c>
      <c r="O4" s="1322"/>
      <c r="P4" s="650"/>
      <c r="Q4" s="650"/>
      <c r="R4" s="650"/>
      <c r="S4" s="650"/>
      <c r="T4" s="1325"/>
      <c r="U4" s="651"/>
      <c r="V4" s="1328"/>
      <c r="W4" s="1325"/>
      <c r="X4" s="425" t="s">
        <v>316</v>
      </c>
      <c r="Y4" s="425" t="s">
        <v>317</v>
      </c>
      <c r="Z4" s="425" t="s">
        <v>318</v>
      </c>
      <c r="AA4" s="652"/>
      <c r="AB4" s="652" t="s">
        <v>319</v>
      </c>
      <c r="AC4" s="425" t="s">
        <v>320</v>
      </c>
      <c r="AD4" s="652"/>
      <c r="AE4" s="425" t="s">
        <v>321</v>
      </c>
      <c r="AF4" s="1278"/>
      <c r="AG4" s="1331"/>
      <c r="AH4" s="1281"/>
      <c r="AI4" s="1282"/>
      <c r="AJ4" s="774"/>
      <c r="AK4" s="653">
        <v>1</v>
      </c>
      <c r="AL4" s="653">
        <v>1</v>
      </c>
      <c r="AM4" s="653">
        <v>1</v>
      </c>
      <c r="AN4" s="653">
        <v>1</v>
      </c>
      <c r="AO4" s="653">
        <v>1</v>
      </c>
      <c r="AP4" s="653">
        <v>1</v>
      </c>
    </row>
    <row r="5" spans="1:44" ht="30" customHeight="1">
      <c r="A5" s="1301">
        <v>1</v>
      </c>
      <c r="B5" s="425" t="s">
        <v>322</v>
      </c>
      <c r="C5" s="1310" t="s">
        <v>323</v>
      </c>
      <c r="D5" s="1310"/>
      <c r="E5" s="654">
        <v>1</v>
      </c>
      <c r="F5" s="654">
        <v>8</v>
      </c>
      <c r="G5" s="655">
        <v>2863000</v>
      </c>
      <c r="H5" s="655">
        <v>2</v>
      </c>
      <c r="I5" s="621">
        <f aca="true" t="shared" si="0" ref="I5:I44">G5*H5</f>
        <v>5726000</v>
      </c>
      <c r="J5" s="656">
        <f>G5*0.6</f>
        <v>1717800</v>
      </c>
      <c r="K5" s="656">
        <f>200000*H5</f>
        <v>400000</v>
      </c>
      <c r="L5" s="656">
        <f>ROUNDDOWN((I5*20/209*1.5),-1)</f>
        <v>821910</v>
      </c>
      <c r="M5" s="656">
        <f>40000*H5</f>
        <v>80000</v>
      </c>
      <c r="N5" s="657">
        <f>SUM((J5:M5),(J6:M6))</f>
        <v>11477080</v>
      </c>
      <c r="O5" s="658">
        <f>I5+N5+I6</f>
        <v>46963080</v>
      </c>
      <c r="P5" s="658">
        <f>L5+L6</f>
        <v>5093680</v>
      </c>
      <c r="Q5" s="658">
        <f>(P5/12)/20</f>
        <v>21223.666666666664</v>
      </c>
      <c r="R5" s="658">
        <v>48954220</v>
      </c>
      <c r="S5" s="658">
        <v>12</v>
      </c>
      <c r="T5" s="659">
        <f>ROUNDDOWN((R5/S5),-1)</f>
        <v>4079510</v>
      </c>
      <c r="U5" s="659">
        <f>T5*9</f>
        <v>36715590</v>
      </c>
      <c r="V5" s="659">
        <f aca="true" t="shared" si="1" ref="V5:V29">INT((T5*0.045*(H5+H6))/10)*10</f>
        <v>2202930</v>
      </c>
      <c r="W5" s="659">
        <f>O5/12</f>
        <v>3913590</v>
      </c>
      <c r="X5" s="656">
        <f aca="true" t="shared" si="2" ref="X5:X29">INT(W5*$X$3*(H5+H6)/10)*10</f>
        <v>1425320</v>
      </c>
      <c r="Y5" s="656">
        <f>INT(X5*$Y$3/10)*10</f>
        <v>93350</v>
      </c>
      <c r="Z5" s="656">
        <f>V5</f>
        <v>2202930</v>
      </c>
      <c r="AA5" s="660">
        <f>W5</f>
        <v>3913590</v>
      </c>
      <c r="AB5" s="661">
        <f>INT((AA5*$AB$3)*(H5+H6)/10)*10</f>
        <v>258290</v>
      </c>
      <c r="AC5" s="662">
        <f aca="true" t="shared" si="3" ref="AC5:AC29">INT((AA5*$AC$3)*(H5+H6)/10)*10</f>
        <v>422660</v>
      </c>
      <c r="AD5" s="659">
        <f>AA5</f>
        <v>3913590</v>
      </c>
      <c r="AE5" s="656">
        <f aca="true" t="shared" si="4" ref="AE5:AE29">ROUNDDOWN((AD5*$AE$3)*(H5+H6),-1)</f>
        <v>328740</v>
      </c>
      <c r="AF5" s="663">
        <f>SUM(X5,Y5,Z5,AC5,AE5)</f>
        <v>4473000</v>
      </c>
      <c r="AG5" s="663">
        <f>INT(O5/12/10)*10</f>
        <v>3913590</v>
      </c>
      <c r="AH5" s="1311">
        <f>O5+AF5+AG5</f>
        <v>55349670</v>
      </c>
      <c r="AI5" s="1311"/>
      <c r="AJ5" s="775">
        <f>X5+Y5+Z5+AB5</f>
        <v>3979890</v>
      </c>
      <c r="AK5" s="664">
        <f>X5/$AK$4</f>
        <v>1425320</v>
      </c>
      <c r="AL5" s="665">
        <f>INT(((Y5/$AK$4)/10)*10)</f>
        <v>93350</v>
      </c>
      <c r="AN5" s="665">
        <f>Z5/$AK$4</f>
        <v>2202930</v>
      </c>
      <c r="AO5" s="665">
        <f>AC5/$AK$4</f>
        <v>422660</v>
      </c>
      <c r="AP5" s="665">
        <f>AE5/$AK$4</f>
        <v>328740</v>
      </c>
      <c r="AQ5" s="638" t="s">
        <v>324</v>
      </c>
      <c r="AR5" s="659">
        <f>46967850/12</f>
        <v>3913987.5</v>
      </c>
    </row>
    <row r="6" spans="1:44" ht="30" customHeight="1">
      <c r="A6" s="1301"/>
      <c r="B6" s="425" t="s">
        <v>322</v>
      </c>
      <c r="C6" s="1310" t="s">
        <v>323</v>
      </c>
      <c r="D6" s="1310"/>
      <c r="E6" s="654">
        <v>3</v>
      </c>
      <c r="F6" s="654">
        <v>9</v>
      </c>
      <c r="G6" s="655">
        <v>2976000</v>
      </c>
      <c r="H6" s="655">
        <v>10</v>
      </c>
      <c r="I6" s="621">
        <f t="shared" si="0"/>
        <v>29760000</v>
      </c>
      <c r="J6" s="656">
        <f aca="true" t="shared" si="5" ref="J6:J44">G6*0.6</f>
        <v>1785600</v>
      </c>
      <c r="K6" s="656">
        <f>200000*H6</f>
        <v>2000000</v>
      </c>
      <c r="L6" s="656">
        <f aca="true" t="shared" si="6" ref="L6:L10">ROUNDDOWN((I6*20/209*1.5),-1)</f>
        <v>4271770</v>
      </c>
      <c r="M6" s="656">
        <f>40000*H6</f>
        <v>400000</v>
      </c>
      <c r="N6" s="663"/>
      <c r="O6" s="658"/>
      <c r="P6" s="658"/>
      <c r="Q6" s="658">
        <f aca="true" t="shared" si="7" ref="Q6:Q10">(P6/12)/20</f>
        <v>0</v>
      </c>
      <c r="R6" s="658"/>
      <c r="S6" s="658"/>
      <c r="T6" s="659"/>
      <c r="U6" s="659">
        <f aca="true" t="shared" si="8" ref="U6:U43">T6*12</f>
        <v>0</v>
      </c>
      <c r="V6" s="659">
        <f t="shared" si="1"/>
        <v>0</v>
      </c>
      <c r="W6" s="659">
        <f aca="true" t="shared" si="9" ref="W6:W44">O6/12</f>
        <v>0</v>
      </c>
      <c r="X6" s="656">
        <f t="shared" si="2"/>
        <v>0</v>
      </c>
      <c r="Y6" s="656">
        <f aca="true" t="shared" si="10" ref="Y6:Y43">INT(X6*$Y$3/10)*10</f>
        <v>0</v>
      </c>
      <c r="Z6" s="656">
        <f aca="true" t="shared" si="11" ref="Z6:AA43">V6</f>
        <v>0</v>
      </c>
      <c r="AA6" s="660">
        <f t="shared" si="11"/>
        <v>0</v>
      </c>
      <c r="AB6" s="659"/>
      <c r="AC6" s="662">
        <f t="shared" si="3"/>
        <v>0</v>
      </c>
      <c r="AD6" s="659">
        <f aca="true" t="shared" si="12" ref="AD6:AD43">AA6</f>
        <v>0</v>
      </c>
      <c r="AE6" s="656">
        <f t="shared" si="4"/>
        <v>0</v>
      </c>
      <c r="AF6" s="663">
        <f aca="true" t="shared" si="13" ref="AF6:AF43">SUM(X6,Y6,Z6,AC6,AE6)</f>
        <v>0</v>
      </c>
      <c r="AG6" s="663">
        <f aca="true" t="shared" si="14" ref="AG6:AG43">INT(O6/12/10)*10</f>
        <v>0</v>
      </c>
      <c r="AH6" s="666"/>
      <c r="AI6" s="666"/>
      <c r="AJ6" s="775">
        <f aca="true" t="shared" si="15" ref="AJ6:AJ44">X6+Y6+Z6+AB6</f>
        <v>0</v>
      </c>
      <c r="AK6" s="664"/>
      <c r="AL6" s="665"/>
      <c r="AN6" s="665"/>
      <c r="AO6" s="665"/>
      <c r="AP6" s="665"/>
      <c r="AQ6" s="638"/>
      <c r="AR6" s="659"/>
    </row>
    <row r="7" spans="1:44" ht="30" customHeight="1">
      <c r="A7" s="1301">
        <v>2</v>
      </c>
      <c r="B7" s="425" t="s">
        <v>325</v>
      </c>
      <c r="C7" s="1310" t="s">
        <v>326</v>
      </c>
      <c r="D7" s="1310"/>
      <c r="E7" s="654">
        <v>1</v>
      </c>
      <c r="F7" s="654">
        <v>17</v>
      </c>
      <c r="G7" s="655">
        <v>3312000</v>
      </c>
      <c r="H7" s="655">
        <v>3</v>
      </c>
      <c r="I7" s="621">
        <f t="shared" si="0"/>
        <v>9936000</v>
      </c>
      <c r="J7" s="656">
        <f t="shared" si="5"/>
        <v>1987200</v>
      </c>
      <c r="K7" s="656">
        <f>100000*H7</f>
        <v>300000</v>
      </c>
      <c r="L7" s="656">
        <f t="shared" si="6"/>
        <v>1426220</v>
      </c>
      <c r="M7" s="656">
        <f>80000*H7</f>
        <v>240000</v>
      </c>
      <c r="N7" s="657">
        <f>SUM((J7:M7),(J8:M8))</f>
        <v>11949000</v>
      </c>
      <c r="O7" s="658">
        <f>I7+N7+I8</f>
        <v>52215000</v>
      </c>
      <c r="P7" s="658">
        <f aca="true" t="shared" si="16" ref="P7:P43">L7+L8</f>
        <v>5779800</v>
      </c>
      <c r="Q7" s="658">
        <f t="shared" si="7"/>
        <v>24082.5</v>
      </c>
      <c r="R7" s="658">
        <v>55592010</v>
      </c>
      <c r="S7" s="658">
        <v>12</v>
      </c>
      <c r="T7" s="659">
        <f aca="true" t="shared" si="17" ref="T7:T43">ROUNDDOWN((R7/S7),-1)</f>
        <v>4632660</v>
      </c>
      <c r="U7" s="659">
        <f t="shared" si="8"/>
        <v>55591920</v>
      </c>
      <c r="V7" s="659">
        <f t="shared" si="1"/>
        <v>2501630</v>
      </c>
      <c r="W7" s="659">
        <f t="shared" si="9"/>
        <v>4351250</v>
      </c>
      <c r="X7" s="656">
        <f t="shared" si="2"/>
        <v>1584720</v>
      </c>
      <c r="Y7" s="656">
        <f t="shared" si="10"/>
        <v>103790</v>
      </c>
      <c r="Z7" s="656">
        <f t="shared" si="11"/>
        <v>2501630</v>
      </c>
      <c r="AA7" s="660">
        <f t="shared" si="11"/>
        <v>4351250</v>
      </c>
      <c r="AB7" s="661">
        <f>INT((AA7*$AB$3)*(H7+H8)/10)*10</f>
        <v>287180</v>
      </c>
      <c r="AC7" s="662">
        <f t="shared" si="3"/>
        <v>469930</v>
      </c>
      <c r="AD7" s="659">
        <f t="shared" si="12"/>
        <v>4351250</v>
      </c>
      <c r="AE7" s="656">
        <f t="shared" si="4"/>
        <v>365500</v>
      </c>
      <c r="AF7" s="663">
        <f t="shared" si="13"/>
        <v>5025570</v>
      </c>
      <c r="AG7" s="663">
        <f t="shared" si="14"/>
        <v>4351250</v>
      </c>
      <c r="AH7" s="1311">
        <f>O7+AF7+AG7</f>
        <v>61591820</v>
      </c>
      <c r="AI7" s="1311"/>
      <c r="AJ7" s="775">
        <f t="shared" si="15"/>
        <v>4477320</v>
      </c>
      <c r="AK7" s="664">
        <f>X7/$AK$4</f>
        <v>1584720</v>
      </c>
      <c r="AL7" s="665">
        <f>Y7/$AK$4</f>
        <v>103790</v>
      </c>
      <c r="AM7" s="665">
        <v>156150</v>
      </c>
      <c r="AN7" s="665">
        <f>Z7/$AK$4</f>
        <v>2501630</v>
      </c>
      <c r="AO7" s="665">
        <f>AC7/$AK$4</f>
        <v>469930</v>
      </c>
      <c r="AP7" s="665">
        <f>AE7/$AK$4</f>
        <v>365500</v>
      </c>
      <c r="AQ7" s="638" t="s">
        <v>326</v>
      </c>
      <c r="AR7" s="659">
        <f>47213990/12</f>
        <v>3934499.1666666665</v>
      </c>
    </row>
    <row r="8" spans="1:44" ht="30" customHeight="1">
      <c r="A8" s="1301"/>
      <c r="B8" s="425" t="s">
        <v>325</v>
      </c>
      <c r="C8" s="1310" t="s">
        <v>326</v>
      </c>
      <c r="D8" s="1310"/>
      <c r="E8" s="654">
        <v>4</v>
      </c>
      <c r="F8" s="654">
        <v>18</v>
      </c>
      <c r="G8" s="655">
        <v>3370000</v>
      </c>
      <c r="H8" s="655">
        <v>9</v>
      </c>
      <c r="I8" s="621">
        <f t="shared" si="0"/>
        <v>30330000</v>
      </c>
      <c r="J8" s="656">
        <f t="shared" si="5"/>
        <v>2022000</v>
      </c>
      <c r="K8" s="656">
        <f>100000*H8</f>
        <v>900000</v>
      </c>
      <c r="L8" s="656">
        <f t="shared" si="6"/>
        <v>4353580</v>
      </c>
      <c r="M8" s="656">
        <f>80000*H8</f>
        <v>720000</v>
      </c>
      <c r="N8" s="663"/>
      <c r="O8" s="658"/>
      <c r="P8" s="658"/>
      <c r="Q8" s="658">
        <f t="shared" si="7"/>
        <v>0</v>
      </c>
      <c r="R8" s="658"/>
      <c r="S8" s="658"/>
      <c r="T8" s="659"/>
      <c r="U8" s="659">
        <f t="shared" si="8"/>
        <v>0</v>
      </c>
      <c r="V8" s="659">
        <f t="shared" si="1"/>
        <v>0</v>
      </c>
      <c r="W8" s="659">
        <f t="shared" si="9"/>
        <v>0</v>
      </c>
      <c r="X8" s="656">
        <f t="shared" si="2"/>
        <v>0</v>
      </c>
      <c r="Y8" s="656">
        <f t="shared" si="10"/>
        <v>0</v>
      </c>
      <c r="Z8" s="656">
        <f t="shared" si="11"/>
        <v>0</v>
      </c>
      <c r="AA8" s="660">
        <f t="shared" si="11"/>
        <v>0</v>
      </c>
      <c r="AB8" s="659"/>
      <c r="AC8" s="662">
        <f t="shared" si="3"/>
        <v>0</v>
      </c>
      <c r="AD8" s="659">
        <f t="shared" si="12"/>
        <v>0</v>
      </c>
      <c r="AE8" s="656">
        <f t="shared" si="4"/>
        <v>0</v>
      </c>
      <c r="AF8" s="663">
        <f t="shared" si="13"/>
        <v>0</v>
      </c>
      <c r="AG8" s="663">
        <f t="shared" si="14"/>
        <v>0</v>
      </c>
      <c r="AH8" s="1311">
        <f>O8+AF8+AG8</f>
        <v>0</v>
      </c>
      <c r="AI8" s="1311"/>
      <c r="AJ8" s="775">
        <f t="shared" si="15"/>
        <v>0</v>
      </c>
      <c r="AK8" s="664"/>
      <c r="AL8" s="665"/>
      <c r="AM8" s="665"/>
      <c r="AN8" s="665"/>
      <c r="AO8" s="665"/>
      <c r="AP8" s="665"/>
      <c r="AQ8" s="638"/>
      <c r="AR8" s="659"/>
    </row>
    <row r="9" spans="1:44" ht="30" customHeight="1">
      <c r="A9" s="1301">
        <v>3</v>
      </c>
      <c r="B9" s="641" t="s">
        <v>327</v>
      </c>
      <c r="C9" s="1310" t="s">
        <v>328</v>
      </c>
      <c r="D9" s="1310"/>
      <c r="E9" s="654">
        <v>1</v>
      </c>
      <c r="F9" s="654">
        <v>10</v>
      </c>
      <c r="G9" s="655">
        <v>2529000</v>
      </c>
      <c r="H9" s="655">
        <v>8</v>
      </c>
      <c r="I9" s="621">
        <f t="shared" si="0"/>
        <v>20232000</v>
      </c>
      <c r="J9" s="656">
        <f t="shared" si="5"/>
        <v>1517400</v>
      </c>
      <c r="K9" s="667"/>
      <c r="L9" s="656">
        <f>ROUNDDOWN((I9*20/209*1.5),-1)</f>
        <v>2904110</v>
      </c>
      <c r="M9" s="656">
        <f>60000*H9</f>
        <v>480000</v>
      </c>
      <c r="N9" s="657">
        <f>SUM((J9:M9),(J10:M10))</f>
        <v>8216640</v>
      </c>
      <c r="O9" s="658">
        <f>I9+N9+I10</f>
        <v>38924640</v>
      </c>
      <c r="P9" s="658">
        <f t="shared" si="16"/>
        <v>4407840</v>
      </c>
      <c r="Q9" s="658">
        <f t="shared" si="7"/>
        <v>18366</v>
      </c>
      <c r="R9" s="658">
        <v>40728800</v>
      </c>
      <c r="S9" s="658">
        <v>12</v>
      </c>
      <c r="T9" s="659">
        <f t="shared" si="17"/>
        <v>3394060</v>
      </c>
      <c r="U9" s="659">
        <f t="shared" si="8"/>
        <v>40728720</v>
      </c>
      <c r="V9" s="659">
        <f t="shared" si="1"/>
        <v>1832790</v>
      </c>
      <c r="W9" s="659">
        <f t="shared" si="9"/>
        <v>3243720</v>
      </c>
      <c r="X9" s="656">
        <f t="shared" si="2"/>
        <v>1181360</v>
      </c>
      <c r="Y9" s="656">
        <f t="shared" si="10"/>
        <v>77370</v>
      </c>
      <c r="Z9" s="656">
        <f t="shared" si="11"/>
        <v>1832790</v>
      </c>
      <c r="AA9" s="660">
        <f t="shared" si="11"/>
        <v>3243720</v>
      </c>
      <c r="AB9" s="661">
        <f>INT((AA9*$AB$3)*(H9+H10)/10)*10</f>
        <v>214080</v>
      </c>
      <c r="AC9" s="662">
        <f t="shared" si="3"/>
        <v>350320</v>
      </c>
      <c r="AD9" s="659">
        <f t="shared" si="12"/>
        <v>3243720</v>
      </c>
      <c r="AE9" s="656">
        <f t="shared" si="4"/>
        <v>272470</v>
      </c>
      <c r="AF9" s="663">
        <f t="shared" si="13"/>
        <v>3714310</v>
      </c>
      <c r="AG9" s="663">
        <f t="shared" si="14"/>
        <v>3243720</v>
      </c>
      <c r="AH9" s="1311">
        <f>O9+AF9+AG9</f>
        <v>45882670</v>
      </c>
      <c r="AI9" s="1311"/>
      <c r="AJ9" s="775">
        <f t="shared" si="15"/>
        <v>3305600</v>
      </c>
      <c r="AK9" s="664">
        <f>X9/$AK$4</f>
        <v>1181360</v>
      </c>
      <c r="AL9" s="665">
        <f>Y9/$AK$4</f>
        <v>77370</v>
      </c>
      <c r="AM9" s="665">
        <v>109080</v>
      </c>
      <c r="AN9" s="665">
        <f>Z9/$AK$4</f>
        <v>1832790</v>
      </c>
      <c r="AO9" s="665">
        <f>AC9/$AK$4</f>
        <v>350320</v>
      </c>
      <c r="AP9" s="665">
        <f>AE9/$AK$4</f>
        <v>272470</v>
      </c>
      <c r="AQ9" s="638" t="s">
        <v>328</v>
      </c>
      <c r="AR9" s="659">
        <f>32687910/12</f>
        <v>2723992.5</v>
      </c>
    </row>
    <row r="10" spans="1:44" ht="30" customHeight="1">
      <c r="A10" s="1301"/>
      <c r="B10" s="641" t="s">
        <v>327</v>
      </c>
      <c r="C10" s="1310" t="s">
        <v>328</v>
      </c>
      <c r="D10" s="1310"/>
      <c r="E10" s="654">
        <v>9</v>
      </c>
      <c r="F10" s="654">
        <v>11</v>
      </c>
      <c r="G10" s="655">
        <v>2619000</v>
      </c>
      <c r="H10" s="655">
        <v>4</v>
      </c>
      <c r="I10" s="621">
        <f t="shared" si="0"/>
        <v>10476000</v>
      </c>
      <c r="J10" s="656">
        <f t="shared" si="5"/>
        <v>1571400</v>
      </c>
      <c r="K10" s="667"/>
      <c r="L10" s="656">
        <f t="shared" si="6"/>
        <v>1503730</v>
      </c>
      <c r="M10" s="656">
        <f>60000*H10</f>
        <v>240000</v>
      </c>
      <c r="N10" s="663"/>
      <c r="O10" s="658"/>
      <c r="P10" s="658"/>
      <c r="Q10" s="658">
        <f t="shared" si="7"/>
        <v>0</v>
      </c>
      <c r="R10" s="658"/>
      <c r="S10" s="658"/>
      <c r="T10" s="659"/>
      <c r="U10" s="659">
        <f t="shared" si="8"/>
        <v>0</v>
      </c>
      <c r="V10" s="659">
        <f t="shared" si="1"/>
        <v>0</v>
      </c>
      <c r="W10" s="659">
        <f t="shared" si="9"/>
        <v>0</v>
      </c>
      <c r="X10" s="656">
        <f t="shared" si="2"/>
        <v>0</v>
      </c>
      <c r="Y10" s="656">
        <f t="shared" si="10"/>
        <v>0</v>
      </c>
      <c r="Z10" s="656">
        <f t="shared" si="11"/>
        <v>0</v>
      </c>
      <c r="AA10" s="660">
        <f t="shared" si="11"/>
        <v>0</v>
      </c>
      <c r="AB10" s="659"/>
      <c r="AC10" s="662">
        <f t="shared" si="3"/>
        <v>0</v>
      </c>
      <c r="AD10" s="659">
        <f t="shared" si="12"/>
        <v>0</v>
      </c>
      <c r="AE10" s="656">
        <f t="shared" si="4"/>
        <v>0</v>
      </c>
      <c r="AF10" s="663">
        <f t="shared" si="13"/>
        <v>0</v>
      </c>
      <c r="AG10" s="663">
        <f t="shared" si="14"/>
        <v>0</v>
      </c>
      <c r="AH10" s="666"/>
      <c r="AI10" s="666"/>
      <c r="AJ10" s="775">
        <f t="shared" si="15"/>
        <v>0</v>
      </c>
      <c r="AK10" s="664"/>
      <c r="AL10" s="665"/>
      <c r="AM10" s="665"/>
      <c r="AN10" s="665"/>
      <c r="AO10" s="665"/>
      <c r="AP10" s="665"/>
      <c r="AQ10" s="638"/>
      <c r="AR10" s="659"/>
    </row>
    <row r="11" spans="1:44" ht="30" customHeight="1">
      <c r="A11" s="1301">
        <v>4</v>
      </c>
      <c r="B11" s="668" t="s">
        <v>329</v>
      </c>
      <c r="C11" s="1310" t="s">
        <v>330</v>
      </c>
      <c r="D11" s="1310"/>
      <c r="E11" s="654">
        <v>1</v>
      </c>
      <c r="F11" s="654">
        <v>6</v>
      </c>
      <c r="G11" s="655">
        <v>1893000</v>
      </c>
      <c r="H11" s="655">
        <v>6</v>
      </c>
      <c r="I11" s="621">
        <f t="shared" si="0"/>
        <v>11358000</v>
      </c>
      <c r="J11" s="656">
        <f t="shared" si="5"/>
        <v>1135800</v>
      </c>
      <c r="K11" s="669"/>
      <c r="L11" s="656">
        <f>ROUNDDOWN((I11*40/209*1.5),-1)</f>
        <v>3260660</v>
      </c>
      <c r="M11" s="669">
        <f>40000*H11</f>
        <v>240000</v>
      </c>
      <c r="N11" s="657">
        <f>SUM((J11:M11),(J12:M12))</f>
        <v>9382080</v>
      </c>
      <c r="O11" s="658">
        <f>I11+N11+I12</f>
        <v>32380080</v>
      </c>
      <c r="P11" s="658">
        <f t="shared" si="16"/>
        <v>6602280</v>
      </c>
      <c r="Q11" s="658">
        <f>(P11/12)/40</f>
        <v>13754.75</v>
      </c>
      <c r="R11" s="658">
        <v>33465850</v>
      </c>
      <c r="S11" s="658">
        <v>12</v>
      </c>
      <c r="T11" s="659">
        <f t="shared" si="17"/>
        <v>2788820</v>
      </c>
      <c r="U11" s="659">
        <f t="shared" si="8"/>
        <v>33465840</v>
      </c>
      <c r="V11" s="659">
        <f t="shared" si="1"/>
        <v>1505960</v>
      </c>
      <c r="W11" s="659">
        <f t="shared" si="9"/>
        <v>2698340</v>
      </c>
      <c r="X11" s="656">
        <f t="shared" si="2"/>
        <v>982730</v>
      </c>
      <c r="Y11" s="656">
        <f t="shared" si="10"/>
        <v>64360</v>
      </c>
      <c r="Z11" s="656">
        <f t="shared" si="11"/>
        <v>1505960</v>
      </c>
      <c r="AA11" s="660">
        <f t="shared" si="11"/>
        <v>2698340</v>
      </c>
      <c r="AB11" s="661">
        <f>INT((AA11*$AB$3)*(H11+H12)/10)*10</f>
        <v>178090</v>
      </c>
      <c r="AC11" s="662">
        <f t="shared" si="3"/>
        <v>291420</v>
      </c>
      <c r="AD11" s="659">
        <f t="shared" si="12"/>
        <v>2698340</v>
      </c>
      <c r="AE11" s="656">
        <f t="shared" si="4"/>
        <v>226660</v>
      </c>
      <c r="AF11" s="663">
        <f t="shared" si="13"/>
        <v>3071130</v>
      </c>
      <c r="AG11" s="663">
        <f t="shared" si="14"/>
        <v>2698340</v>
      </c>
      <c r="AH11" s="1311">
        <f>O11+AF11+AG11</f>
        <v>38149550</v>
      </c>
      <c r="AI11" s="1311"/>
      <c r="AJ11" s="775">
        <f t="shared" si="15"/>
        <v>2731140</v>
      </c>
      <c r="AK11" s="664">
        <f>X11/$AK$4</f>
        <v>982730</v>
      </c>
      <c r="AL11" s="665">
        <f>Y11/$AK$4</f>
        <v>64360</v>
      </c>
      <c r="AM11" s="665">
        <v>101790</v>
      </c>
      <c r="AN11" s="665">
        <f>Z11/$AK$4</f>
        <v>1505960</v>
      </c>
      <c r="AO11" s="665">
        <f>AC11/$AK$4</f>
        <v>291420</v>
      </c>
      <c r="AP11" s="665">
        <f>AE11/$AK$4</f>
        <v>226660</v>
      </c>
      <c r="AQ11" s="638" t="s">
        <v>330</v>
      </c>
      <c r="AR11" s="659">
        <f>30459010/12</f>
        <v>2538250.8333333335</v>
      </c>
    </row>
    <row r="12" spans="1:44" ht="30" customHeight="1">
      <c r="A12" s="1301"/>
      <c r="B12" s="668" t="s">
        <v>329</v>
      </c>
      <c r="C12" s="1310" t="s">
        <v>330</v>
      </c>
      <c r="D12" s="1310"/>
      <c r="E12" s="654">
        <v>7</v>
      </c>
      <c r="F12" s="654">
        <v>7</v>
      </c>
      <c r="G12" s="655">
        <v>1940000</v>
      </c>
      <c r="H12" s="655">
        <v>6</v>
      </c>
      <c r="I12" s="621">
        <f t="shared" si="0"/>
        <v>11640000</v>
      </c>
      <c r="J12" s="656">
        <f t="shared" si="5"/>
        <v>1164000</v>
      </c>
      <c r="K12" s="669"/>
      <c r="L12" s="656">
        <f aca="true" t="shared" si="18" ref="L12:L32">ROUNDDOWN((I12*40/209*1.5),-1)</f>
        <v>3341620</v>
      </c>
      <c r="M12" s="669">
        <f>40000*H12</f>
        <v>240000</v>
      </c>
      <c r="N12" s="663"/>
      <c r="O12" s="658"/>
      <c r="P12" s="658"/>
      <c r="Q12" s="658">
        <f aca="true" t="shared" si="19" ref="Q12:Q36">(P12/12)/40</f>
        <v>0</v>
      </c>
      <c r="R12" s="658"/>
      <c r="S12" s="658"/>
      <c r="T12" s="659"/>
      <c r="U12" s="659">
        <f t="shared" si="8"/>
        <v>0</v>
      </c>
      <c r="V12" s="659">
        <f t="shared" si="1"/>
        <v>0</v>
      </c>
      <c r="W12" s="659">
        <f t="shared" si="9"/>
        <v>0</v>
      </c>
      <c r="X12" s="656">
        <f t="shared" si="2"/>
        <v>0</v>
      </c>
      <c r="Y12" s="656">
        <f t="shared" si="10"/>
        <v>0</v>
      </c>
      <c r="Z12" s="656">
        <f t="shared" si="11"/>
        <v>0</v>
      </c>
      <c r="AA12" s="660">
        <f t="shared" si="11"/>
        <v>0</v>
      </c>
      <c r="AB12" s="659"/>
      <c r="AC12" s="662">
        <f t="shared" si="3"/>
        <v>0</v>
      </c>
      <c r="AD12" s="659">
        <f t="shared" si="12"/>
        <v>0</v>
      </c>
      <c r="AE12" s="656">
        <f t="shared" si="4"/>
        <v>0</v>
      </c>
      <c r="AF12" s="663">
        <f t="shared" si="13"/>
        <v>0</v>
      </c>
      <c r="AG12" s="663">
        <f t="shared" si="14"/>
        <v>0</v>
      </c>
      <c r="AH12" s="666"/>
      <c r="AI12" s="666"/>
      <c r="AJ12" s="775">
        <f t="shared" si="15"/>
        <v>0</v>
      </c>
      <c r="AK12" s="664"/>
      <c r="AL12" s="665"/>
      <c r="AM12" s="665"/>
      <c r="AN12" s="665"/>
      <c r="AO12" s="665"/>
      <c r="AP12" s="665"/>
      <c r="AQ12" s="638"/>
      <c r="AR12" s="659"/>
    </row>
    <row r="13" spans="1:44" ht="30" customHeight="1">
      <c r="A13" s="1301">
        <v>5</v>
      </c>
      <c r="B13" s="668" t="s">
        <v>329</v>
      </c>
      <c r="C13" s="1310" t="s">
        <v>331</v>
      </c>
      <c r="D13" s="1310"/>
      <c r="E13" s="654">
        <v>1</v>
      </c>
      <c r="F13" s="654">
        <v>13</v>
      </c>
      <c r="G13" s="655">
        <v>2293000</v>
      </c>
      <c r="H13" s="655">
        <v>10</v>
      </c>
      <c r="I13" s="621">
        <f t="shared" si="0"/>
        <v>22930000</v>
      </c>
      <c r="J13" s="656">
        <f>G13*1.2</f>
        <v>2751600</v>
      </c>
      <c r="K13" s="669"/>
      <c r="L13" s="656">
        <f t="shared" si="18"/>
        <v>6582770</v>
      </c>
      <c r="M13" s="669">
        <f>80000*H13</f>
        <v>800000</v>
      </c>
      <c r="N13" s="657">
        <f>SUM((J13:M13),(J14:M14))</f>
        <v>11770540</v>
      </c>
      <c r="O13" s="658">
        <f>I13+N13+I14</f>
        <v>39842540</v>
      </c>
      <c r="P13" s="658">
        <f t="shared" si="16"/>
        <v>8058940</v>
      </c>
      <c r="Q13" s="658">
        <f t="shared" si="19"/>
        <v>16789.458333333336</v>
      </c>
      <c r="R13" s="658">
        <v>41195480</v>
      </c>
      <c r="S13" s="658">
        <v>12</v>
      </c>
      <c r="T13" s="659">
        <f t="shared" si="17"/>
        <v>3432950</v>
      </c>
      <c r="U13" s="659">
        <f t="shared" si="8"/>
        <v>41195400</v>
      </c>
      <c r="V13" s="659">
        <f t="shared" si="1"/>
        <v>1853790</v>
      </c>
      <c r="W13" s="659">
        <f t="shared" si="9"/>
        <v>3320211.6666666665</v>
      </c>
      <c r="X13" s="656">
        <f t="shared" si="2"/>
        <v>1209220</v>
      </c>
      <c r="Y13" s="656">
        <f t="shared" si="10"/>
        <v>79200</v>
      </c>
      <c r="Z13" s="656">
        <f t="shared" si="11"/>
        <v>1853790</v>
      </c>
      <c r="AA13" s="660">
        <f t="shared" si="11"/>
        <v>3320211.6666666665</v>
      </c>
      <c r="AB13" s="661">
        <f>INT((AA13*$AB$3)*(H13+H14)/10)*10</f>
        <v>219130</v>
      </c>
      <c r="AC13" s="662">
        <f t="shared" si="3"/>
        <v>358580</v>
      </c>
      <c r="AD13" s="659">
        <f t="shared" si="12"/>
        <v>3320211.6666666665</v>
      </c>
      <c r="AE13" s="656">
        <f t="shared" si="4"/>
        <v>278890</v>
      </c>
      <c r="AF13" s="663">
        <f t="shared" si="13"/>
        <v>3779680</v>
      </c>
      <c r="AG13" s="663">
        <f t="shared" si="14"/>
        <v>3320210</v>
      </c>
      <c r="AH13" s="1311">
        <f>O13+AF13+AG13</f>
        <v>46942430</v>
      </c>
      <c r="AI13" s="1311"/>
      <c r="AJ13" s="775">
        <f t="shared" si="15"/>
        <v>3361340</v>
      </c>
      <c r="AK13" s="664"/>
      <c r="AL13" s="665"/>
      <c r="AM13" s="665"/>
      <c r="AN13" s="665"/>
      <c r="AO13" s="665"/>
      <c r="AP13" s="665"/>
      <c r="AQ13" s="638"/>
      <c r="AR13" s="659"/>
    </row>
    <row r="14" spans="1:44" ht="30" customHeight="1">
      <c r="A14" s="1301"/>
      <c r="B14" s="668" t="s">
        <v>329</v>
      </c>
      <c r="C14" s="1310" t="s">
        <v>331</v>
      </c>
      <c r="D14" s="1310"/>
      <c r="E14" s="654">
        <v>11</v>
      </c>
      <c r="F14" s="654">
        <v>14</v>
      </c>
      <c r="G14" s="655">
        <v>2571000</v>
      </c>
      <c r="H14" s="655">
        <v>2</v>
      </c>
      <c r="I14" s="621">
        <f t="shared" si="0"/>
        <v>5142000</v>
      </c>
      <c r="J14" s="656"/>
      <c r="K14" s="669"/>
      <c r="L14" s="656">
        <f t="shared" si="18"/>
        <v>1476170</v>
      </c>
      <c r="M14" s="669">
        <f>80000*H14</f>
        <v>160000</v>
      </c>
      <c r="N14" s="663"/>
      <c r="O14" s="658"/>
      <c r="P14" s="658"/>
      <c r="Q14" s="658">
        <f t="shared" si="19"/>
        <v>0</v>
      </c>
      <c r="R14" s="658"/>
      <c r="S14" s="658"/>
      <c r="T14" s="659"/>
      <c r="U14" s="659">
        <f t="shared" si="8"/>
        <v>0</v>
      </c>
      <c r="V14" s="659">
        <f t="shared" si="1"/>
        <v>0</v>
      </c>
      <c r="W14" s="659">
        <f t="shared" si="9"/>
        <v>0</v>
      </c>
      <c r="X14" s="656">
        <f t="shared" si="2"/>
        <v>0</v>
      </c>
      <c r="Y14" s="656">
        <f t="shared" si="10"/>
        <v>0</v>
      </c>
      <c r="Z14" s="656">
        <f t="shared" si="11"/>
        <v>0</v>
      </c>
      <c r="AA14" s="660">
        <f t="shared" si="11"/>
        <v>0</v>
      </c>
      <c r="AB14" s="659"/>
      <c r="AC14" s="662">
        <f t="shared" si="3"/>
        <v>0</v>
      </c>
      <c r="AD14" s="659">
        <f t="shared" si="12"/>
        <v>0</v>
      </c>
      <c r="AE14" s="656">
        <f t="shared" si="4"/>
        <v>0</v>
      </c>
      <c r="AF14" s="663">
        <f t="shared" si="13"/>
        <v>0</v>
      </c>
      <c r="AG14" s="663">
        <f t="shared" si="14"/>
        <v>0</v>
      </c>
      <c r="AH14" s="666"/>
      <c r="AI14" s="666"/>
      <c r="AJ14" s="775">
        <f t="shared" si="15"/>
        <v>0</v>
      </c>
      <c r="AK14" s="664"/>
      <c r="AL14" s="665"/>
      <c r="AM14" s="665"/>
      <c r="AN14" s="665"/>
      <c r="AO14" s="665"/>
      <c r="AP14" s="665"/>
      <c r="AQ14" s="638"/>
      <c r="AR14" s="659"/>
    </row>
    <row r="15" spans="1:44" s="133" customFormat="1" ht="30" customHeight="1">
      <c r="A15" s="1301">
        <v>6</v>
      </c>
      <c r="B15" s="668" t="s">
        <v>329</v>
      </c>
      <c r="C15" s="1310" t="s">
        <v>332</v>
      </c>
      <c r="D15" s="1310"/>
      <c r="E15" s="670">
        <v>1</v>
      </c>
      <c r="F15" s="654">
        <v>6</v>
      </c>
      <c r="G15" s="655">
        <v>1893000</v>
      </c>
      <c r="H15" s="655">
        <v>3</v>
      </c>
      <c r="I15" s="621">
        <f t="shared" si="0"/>
        <v>5679000</v>
      </c>
      <c r="J15" s="656">
        <f t="shared" si="5"/>
        <v>1135800</v>
      </c>
      <c r="K15" s="669"/>
      <c r="L15" s="656">
        <f t="shared" si="18"/>
        <v>1630330</v>
      </c>
      <c r="M15" s="669"/>
      <c r="N15" s="657">
        <f>SUM((J15:M15),(J16:M16))</f>
        <v>9146320</v>
      </c>
      <c r="O15" s="658">
        <f>I15+N15+I16</f>
        <v>32861320</v>
      </c>
      <c r="P15" s="658">
        <f t="shared" si="16"/>
        <v>6808120</v>
      </c>
      <c r="Q15" s="658">
        <f t="shared" si="19"/>
        <v>14183.583333333334</v>
      </c>
      <c r="R15" s="658">
        <v>33437740</v>
      </c>
      <c r="S15" s="658">
        <v>12</v>
      </c>
      <c r="T15" s="659">
        <f t="shared" si="17"/>
        <v>2786470</v>
      </c>
      <c r="U15" s="659">
        <f t="shared" si="8"/>
        <v>33437640</v>
      </c>
      <c r="V15" s="659">
        <f t="shared" si="1"/>
        <v>1504690</v>
      </c>
      <c r="W15" s="659">
        <f t="shared" si="9"/>
        <v>2738443.3333333335</v>
      </c>
      <c r="X15" s="656">
        <f t="shared" si="2"/>
        <v>997340</v>
      </c>
      <c r="Y15" s="656">
        <f t="shared" si="10"/>
        <v>65320</v>
      </c>
      <c r="Z15" s="656">
        <f t="shared" si="11"/>
        <v>1504690</v>
      </c>
      <c r="AA15" s="660">
        <f t="shared" si="11"/>
        <v>2738443.3333333335</v>
      </c>
      <c r="AB15" s="661">
        <f>INT((AA15*$AB$3)*(H15+H16)/10)*10</f>
        <v>180730</v>
      </c>
      <c r="AC15" s="662">
        <f t="shared" si="3"/>
        <v>295750</v>
      </c>
      <c r="AD15" s="659">
        <f t="shared" si="12"/>
        <v>2738443.3333333335</v>
      </c>
      <c r="AE15" s="656">
        <f t="shared" si="4"/>
        <v>230020</v>
      </c>
      <c r="AF15" s="663">
        <f t="shared" si="13"/>
        <v>3093120</v>
      </c>
      <c r="AG15" s="663">
        <f t="shared" si="14"/>
        <v>2738440</v>
      </c>
      <c r="AH15" s="1311">
        <f>O15+AF15+AG15</f>
        <v>38692880</v>
      </c>
      <c r="AI15" s="1311"/>
      <c r="AJ15" s="775">
        <f t="shared" si="15"/>
        <v>2748080</v>
      </c>
      <c r="AK15" s="664">
        <f>X15/$AK$4</f>
        <v>997340</v>
      </c>
      <c r="AL15" s="665">
        <f>Y15/$AK$4</f>
        <v>65320</v>
      </c>
      <c r="AM15" s="665">
        <v>100800</v>
      </c>
      <c r="AN15" s="665">
        <f>Z15/$AK$4</f>
        <v>1504690</v>
      </c>
      <c r="AO15" s="665">
        <f>AC15/$AK$4</f>
        <v>295750</v>
      </c>
      <c r="AP15" s="665">
        <f>AE15/$AK$4</f>
        <v>230020</v>
      </c>
      <c r="AQ15" s="638" t="s">
        <v>332</v>
      </c>
      <c r="AR15" s="659">
        <f>30038260/12</f>
        <v>2503188.3333333335</v>
      </c>
    </row>
    <row r="16" spans="1:44" s="623" customFormat="1" ht="30" customHeight="1" thickBot="1">
      <c r="A16" s="1301"/>
      <c r="B16" s="668" t="s">
        <v>329</v>
      </c>
      <c r="C16" s="1310" t="s">
        <v>332</v>
      </c>
      <c r="D16" s="1310"/>
      <c r="E16" s="654">
        <v>4</v>
      </c>
      <c r="F16" s="654">
        <v>7</v>
      </c>
      <c r="G16" s="655">
        <v>2004000</v>
      </c>
      <c r="H16" s="655">
        <v>9</v>
      </c>
      <c r="I16" s="621">
        <f t="shared" si="0"/>
        <v>18036000</v>
      </c>
      <c r="J16" s="656">
        <f t="shared" si="5"/>
        <v>1202400</v>
      </c>
      <c r="K16" s="669"/>
      <c r="L16" s="656">
        <f t="shared" si="18"/>
        <v>5177790</v>
      </c>
      <c r="M16" s="669"/>
      <c r="N16" s="663"/>
      <c r="O16" s="658"/>
      <c r="P16" s="658"/>
      <c r="Q16" s="658">
        <f t="shared" si="19"/>
        <v>0</v>
      </c>
      <c r="R16" s="658"/>
      <c r="S16" s="658"/>
      <c r="T16" s="659"/>
      <c r="U16" s="659">
        <f t="shared" si="8"/>
        <v>0</v>
      </c>
      <c r="V16" s="659">
        <f t="shared" si="1"/>
        <v>0</v>
      </c>
      <c r="W16" s="659">
        <f t="shared" si="9"/>
        <v>0</v>
      </c>
      <c r="X16" s="656">
        <f t="shared" si="2"/>
        <v>0</v>
      </c>
      <c r="Y16" s="656">
        <f t="shared" si="10"/>
        <v>0</v>
      </c>
      <c r="Z16" s="656">
        <f t="shared" si="11"/>
        <v>0</v>
      </c>
      <c r="AA16" s="660">
        <f t="shared" si="11"/>
        <v>0</v>
      </c>
      <c r="AB16" s="659"/>
      <c r="AC16" s="662">
        <f t="shared" si="3"/>
        <v>0</v>
      </c>
      <c r="AD16" s="659">
        <f t="shared" si="12"/>
        <v>0</v>
      </c>
      <c r="AE16" s="656">
        <f t="shared" si="4"/>
        <v>0</v>
      </c>
      <c r="AF16" s="663">
        <f t="shared" si="13"/>
        <v>0</v>
      </c>
      <c r="AG16" s="663">
        <f t="shared" si="14"/>
        <v>0</v>
      </c>
      <c r="AH16" s="666"/>
      <c r="AI16" s="666"/>
      <c r="AJ16" s="775">
        <f t="shared" si="15"/>
        <v>0</v>
      </c>
      <c r="AK16" s="671"/>
      <c r="AL16" s="672"/>
      <c r="AM16" s="672"/>
      <c r="AN16" s="672"/>
      <c r="AO16" s="672"/>
      <c r="AP16" s="672"/>
      <c r="AQ16" s="636"/>
      <c r="AR16" s="673"/>
    </row>
    <row r="17" spans="1:44" s="677" customFormat="1" ht="30" customHeight="1" thickTop="1">
      <c r="A17" s="1301">
        <v>7</v>
      </c>
      <c r="B17" s="668" t="s">
        <v>329</v>
      </c>
      <c r="C17" s="1310" t="s">
        <v>333</v>
      </c>
      <c r="D17" s="1310"/>
      <c r="E17" s="654">
        <v>1</v>
      </c>
      <c r="F17" s="654">
        <v>6</v>
      </c>
      <c r="G17" s="655">
        <v>1893000</v>
      </c>
      <c r="H17" s="655">
        <v>7</v>
      </c>
      <c r="I17" s="621">
        <f t="shared" si="0"/>
        <v>13251000</v>
      </c>
      <c r="J17" s="656">
        <f t="shared" si="5"/>
        <v>1135800</v>
      </c>
      <c r="K17" s="669"/>
      <c r="L17" s="656">
        <f t="shared" si="18"/>
        <v>3804110</v>
      </c>
      <c r="M17" s="669"/>
      <c r="N17" s="657">
        <f>SUM((J17:M17),(J18:M18))</f>
        <v>8888590</v>
      </c>
      <c r="O17" s="658">
        <f>I17+N17+I18</f>
        <v>31839590</v>
      </c>
      <c r="P17" s="658">
        <f t="shared" si="16"/>
        <v>6588790</v>
      </c>
      <c r="Q17" s="658">
        <f t="shared" si="19"/>
        <v>13726.645833333334</v>
      </c>
      <c r="R17" s="658">
        <v>32835210</v>
      </c>
      <c r="S17" s="658">
        <v>12</v>
      </c>
      <c r="T17" s="659">
        <f t="shared" si="17"/>
        <v>2736260</v>
      </c>
      <c r="U17" s="659">
        <f t="shared" si="8"/>
        <v>32835120</v>
      </c>
      <c r="V17" s="659">
        <f t="shared" si="1"/>
        <v>1477580</v>
      </c>
      <c r="W17" s="659">
        <f t="shared" si="9"/>
        <v>2653299.1666666665</v>
      </c>
      <c r="X17" s="656">
        <f t="shared" si="2"/>
        <v>966330</v>
      </c>
      <c r="Y17" s="656">
        <f t="shared" si="10"/>
        <v>63290</v>
      </c>
      <c r="Z17" s="656">
        <f t="shared" si="11"/>
        <v>1477580</v>
      </c>
      <c r="AA17" s="660">
        <f t="shared" si="11"/>
        <v>2653299.1666666665</v>
      </c>
      <c r="AB17" s="661">
        <f>INT((AA17*$AB$3)*(H17+H18)/10)*10</f>
        <v>175110</v>
      </c>
      <c r="AC17" s="662">
        <f t="shared" si="3"/>
        <v>286550</v>
      </c>
      <c r="AD17" s="659">
        <f t="shared" si="12"/>
        <v>2653299.1666666665</v>
      </c>
      <c r="AE17" s="656">
        <f t="shared" si="4"/>
        <v>222870</v>
      </c>
      <c r="AF17" s="663">
        <f t="shared" si="13"/>
        <v>3016620</v>
      </c>
      <c r="AG17" s="663">
        <f t="shared" si="14"/>
        <v>2653290</v>
      </c>
      <c r="AH17" s="1311">
        <f>O17+AF17+AG17</f>
        <v>37509500</v>
      </c>
      <c r="AI17" s="1311"/>
      <c r="AJ17" s="775">
        <f t="shared" si="15"/>
        <v>2682310</v>
      </c>
      <c r="AK17" s="674">
        <f>X17/$AK$4</f>
        <v>966330</v>
      </c>
      <c r="AL17" s="675">
        <f>Y17/$AK$4</f>
        <v>63290</v>
      </c>
      <c r="AM17" s="675">
        <v>91890</v>
      </c>
      <c r="AN17" s="675">
        <f>Z17/$AK$4</f>
        <v>1477580</v>
      </c>
      <c r="AO17" s="675">
        <f>AC17/$AK$4</f>
        <v>286550</v>
      </c>
      <c r="AP17" s="675">
        <f>AE17/$AK$4</f>
        <v>222870</v>
      </c>
      <c r="AQ17" s="635" t="s">
        <v>333</v>
      </c>
      <c r="AR17" s="676">
        <f>29751760/12</f>
        <v>2479313.3333333335</v>
      </c>
    </row>
    <row r="18" spans="1:44" s="623" customFormat="1" ht="30" customHeight="1" thickBot="1">
      <c r="A18" s="1301"/>
      <c r="B18" s="668" t="s">
        <v>329</v>
      </c>
      <c r="C18" s="1310" t="s">
        <v>333</v>
      </c>
      <c r="D18" s="1310"/>
      <c r="E18" s="654">
        <v>8</v>
      </c>
      <c r="F18" s="654">
        <v>7</v>
      </c>
      <c r="G18" s="655">
        <v>1940000</v>
      </c>
      <c r="H18" s="655">
        <v>5</v>
      </c>
      <c r="I18" s="621">
        <f t="shared" si="0"/>
        <v>9700000</v>
      </c>
      <c r="J18" s="656">
        <f t="shared" si="5"/>
        <v>1164000</v>
      </c>
      <c r="K18" s="669"/>
      <c r="L18" s="656">
        <f t="shared" si="18"/>
        <v>2784680</v>
      </c>
      <c r="M18" s="669"/>
      <c r="N18" s="663"/>
      <c r="O18" s="658"/>
      <c r="P18" s="658"/>
      <c r="Q18" s="658">
        <f t="shared" si="19"/>
        <v>0</v>
      </c>
      <c r="R18" s="658"/>
      <c r="S18" s="658"/>
      <c r="T18" s="659"/>
      <c r="U18" s="659">
        <f t="shared" si="8"/>
        <v>0</v>
      </c>
      <c r="V18" s="659">
        <f t="shared" si="1"/>
        <v>0</v>
      </c>
      <c r="W18" s="659">
        <f t="shared" si="9"/>
        <v>0</v>
      </c>
      <c r="X18" s="656">
        <f t="shared" si="2"/>
        <v>0</v>
      </c>
      <c r="Y18" s="656">
        <f t="shared" si="10"/>
        <v>0</v>
      </c>
      <c r="Z18" s="656">
        <f t="shared" si="11"/>
        <v>0</v>
      </c>
      <c r="AA18" s="660">
        <f t="shared" si="11"/>
        <v>0</v>
      </c>
      <c r="AB18" s="659"/>
      <c r="AC18" s="662">
        <f t="shared" si="3"/>
        <v>0</v>
      </c>
      <c r="AD18" s="659">
        <f t="shared" si="12"/>
        <v>0</v>
      </c>
      <c r="AE18" s="656">
        <f t="shared" si="4"/>
        <v>0</v>
      </c>
      <c r="AF18" s="663">
        <f t="shared" si="13"/>
        <v>0</v>
      </c>
      <c r="AG18" s="663">
        <f t="shared" si="14"/>
        <v>0</v>
      </c>
      <c r="AH18" s="666"/>
      <c r="AI18" s="666"/>
      <c r="AJ18" s="775">
        <f t="shared" si="15"/>
        <v>0</v>
      </c>
      <c r="AK18" s="671"/>
      <c r="AL18" s="672"/>
      <c r="AM18" s="672"/>
      <c r="AN18" s="672"/>
      <c r="AO18" s="672"/>
      <c r="AP18" s="672"/>
      <c r="AQ18" s="636"/>
      <c r="AR18" s="673"/>
    </row>
    <row r="19" spans="1:44" s="677" customFormat="1" ht="30" customHeight="1" thickTop="1">
      <c r="A19" s="1301">
        <v>8</v>
      </c>
      <c r="B19" s="668" t="s">
        <v>329</v>
      </c>
      <c r="C19" s="1310" t="s">
        <v>334</v>
      </c>
      <c r="D19" s="1310"/>
      <c r="E19" s="654">
        <v>1</v>
      </c>
      <c r="F19" s="654">
        <v>6</v>
      </c>
      <c r="G19" s="655">
        <v>1893000</v>
      </c>
      <c r="H19" s="655">
        <v>8</v>
      </c>
      <c r="I19" s="621">
        <f t="shared" si="0"/>
        <v>15144000</v>
      </c>
      <c r="J19" s="656">
        <f t="shared" si="5"/>
        <v>1135800</v>
      </c>
      <c r="K19" s="669"/>
      <c r="L19" s="656">
        <f t="shared" si="18"/>
        <v>4347550</v>
      </c>
      <c r="M19" s="669">
        <f>60000*H19</f>
        <v>480000</v>
      </c>
      <c r="N19" s="657">
        <f>SUM((J19:M19),(J20:M20))</f>
        <v>9595100</v>
      </c>
      <c r="O19" s="658">
        <f>I19+N19+I20</f>
        <v>32499100</v>
      </c>
      <c r="P19" s="658">
        <f t="shared" si="16"/>
        <v>6575300</v>
      </c>
      <c r="Q19" s="658">
        <f t="shared" si="19"/>
        <v>13698.541666666666</v>
      </c>
      <c r="R19" s="658">
        <v>33404580</v>
      </c>
      <c r="S19" s="658">
        <v>12</v>
      </c>
      <c r="T19" s="659">
        <f t="shared" si="17"/>
        <v>2783710</v>
      </c>
      <c r="U19" s="659">
        <f t="shared" si="8"/>
        <v>33404520</v>
      </c>
      <c r="V19" s="659">
        <f t="shared" si="1"/>
        <v>1503200</v>
      </c>
      <c r="W19" s="659">
        <f t="shared" si="9"/>
        <v>2708258.3333333335</v>
      </c>
      <c r="X19" s="656">
        <f t="shared" si="2"/>
        <v>986340</v>
      </c>
      <c r="Y19" s="656">
        <f t="shared" si="10"/>
        <v>64600</v>
      </c>
      <c r="Z19" s="656">
        <f t="shared" si="11"/>
        <v>1503200</v>
      </c>
      <c r="AA19" s="660">
        <f t="shared" si="11"/>
        <v>2708258.3333333335</v>
      </c>
      <c r="AB19" s="661">
        <f>INT((AA19*$AB$3)*(H19+H20)/10)*10</f>
        <v>178740</v>
      </c>
      <c r="AC19" s="662">
        <f t="shared" si="3"/>
        <v>292490</v>
      </c>
      <c r="AD19" s="659">
        <f t="shared" si="12"/>
        <v>2708258.3333333335</v>
      </c>
      <c r="AE19" s="656">
        <f t="shared" si="4"/>
        <v>227490</v>
      </c>
      <c r="AF19" s="663">
        <f t="shared" si="13"/>
        <v>3074120</v>
      </c>
      <c r="AG19" s="663">
        <f t="shared" si="14"/>
        <v>2708250</v>
      </c>
      <c r="AH19" s="1311">
        <f>O19+AF19+AG19</f>
        <v>38281470</v>
      </c>
      <c r="AI19" s="1311"/>
      <c r="AJ19" s="775">
        <f t="shared" si="15"/>
        <v>2732880</v>
      </c>
      <c r="AK19" s="674">
        <f>X19/$AK$4</f>
        <v>986340</v>
      </c>
      <c r="AL19" s="675">
        <f>Y19/$AK$4</f>
        <v>64600</v>
      </c>
      <c r="AM19" s="675">
        <v>98770</v>
      </c>
      <c r="AN19" s="675">
        <f>Z19/$AK$4</f>
        <v>1503200</v>
      </c>
      <c r="AO19" s="675">
        <f>AC19/$AK$4</f>
        <v>292490</v>
      </c>
      <c r="AP19" s="675">
        <f>AE19/$AK$4</f>
        <v>227490</v>
      </c>
      <c r="AQ19" s="635" t="s">
        <v>334</v>
      </c>
      <c r="AR19" s="676">
        <f>29854660/12</f>
        <v>2487888.3333333335</v>
      </c>
    </row>
    <row r="20" spans="1:44" s="623" customFormat="1" ht="30" customHeight="1" thickBot="1">
      <c r="A20" s="1301"/>
      <c r="B20" s="668" t="s">
        <v>329</v>
      </c>
      <c r="C20" s="1310" t="s">
        <v>334</v>
      </c>
      <c r="D20" s="1310"/>
      <c r="E20" s="654">
        <v>9</v>
      </c>
      <c r="F20" s="654">
        <v>7</v>
      </c>
      <c r="G20" s="655">
        <v>1940000</v>
      </c>
      <c r="H20" s="655">
        <v>4</v>
      </c>
      <c r="I20" s="621">
        <f t="shared" si="0"/>
        <v>7760000</v>
      </c>
      <c r="J20" s="656">
        <f t="shared" si="5"/>
        <v>1164000</v>
      </c>
      <c r="K20" s="669"/>
      <c r="L20" s="656">
        <f t="shared" si="18"/>
        <v>2227750</v>
      </c>
      <c r="M20" s="669">
        <f>60000*H20</f>
        <v>240000</v>
      </c>
      <c r="N20" s="663"/>
      <c r="O20" s="658"/>
      <c r="P20" s="658"/>
      <c r="Q20" s="658">
        <f t="shared" si="19"/>
        <v>0</v>
      </c>
      <c r="R20" s="658"/>
      <c r="S20" s="658"/>
      <c r="T20" s="659"/>
      <c r="U20" s="659">
        <f t="shared" si="8"/>
        <v>0</v>
      </c>
      <c r="V20" s="659">
        <f t="shared" si="1"/>
        <v>0</v>
      </c>
      <c r="W20" s="659">
        <f t="shared" si="9"/>
        <v>0</v>
      </c>
      <c r="X20" s="656">
        <f t="shared" si="2"/>
        <v>0</v>
      </c>
      <c r="Y20" s="656">
        <f t="shared" si="10"/>
        <v>0</v>
      </c>
      <c r="Z20" s="656">
        <f t="shared" si="11"/>
        <v>0</v>
      </c>
      <c r="AA20" s="660">
        <f t="shared" si="11"/>
        <v>0</v>
      </c>
      <c r="AB20" s="659"/>
      <c r="AC20" s="662">
        <f t="shared" si="3"/>
        <v>0</v>
      </c>
      <c r="AD20" s="659">
        <f t="shared" si="12"/>
        <v>0</v>
      </c>
      <c r="AE20" s="656">
        <f t="shared" si="4"/>
        <v>0</v>
      </c>
      <c r="AF20" s="663">
        <f t="shared" si="13"/>
        <v>0</v>
      </c>
      <c r="AG20" s="663">
        <f t="shared" si="14"/>
        <v>0</v>
      </c>
      <c r="AH20" s="666"/>
      <c r="AI20" s="666"/>
      <c r="AJ20" s="775">
        <f t="shared" si="15"/>
        <v>0</v>
      </c>
      <c r="AK20" s="671"/>
      <c r="AL20" s="672"/>
      <c r="AM20" s="672"/>
      <c r="AN20" s="672"/>
      <c r="AO20" s="672"/>
      <c r="AP20" s="672"/>
      <c r="AQ20" s="636"/>
      <c r="AR20" s="673"/>
    </row>
    <row r="21" spans="1:44" s="677" customFormat="1" ht="30" customHeight="1" thickTop="1">
      <c r="A21" s="1301">
        <v>9</v>
      </c>
      <c r="B21" s="668" t="s">
        <v>329</v>
      </c>
      <c r="C21" s="1310" t="s">
        <v>335</v>
      </c>
      <c r="D21" s="1310"/>
      <c r="E21" s="654">
        <v>1</v>
      </c>
      <c r="F21" s="654">
        <v>3</v>
      </c>
      <c r="G21" s="655">
        <v>1681000</v>
      </c>
      <c r="H21" s="655">
        <v>3</v>
      </c>
      <c r="I21" s="621">
        <f t="shared" si="0"/>
        <v>5043000</v>
      </c>
      <c r="J21" s="656">
        <f t="shared" si="5"/>
        <v>1008600</v>
      </c>
      <c r="K21" s="669"/>
      <c r="L21" s="656">
        <f t="shared" si="18"/>
        <v>1447750</v>
      </c>
      <c r="M21" s="669"/>
      <c r="N21" s="657">
        <f>SUM((J21:M21),(J22:M22))</f>
        <v>7976940</v>
      </c>
      <c r="O21" s="658">
        <f>I21+N21+I22</f>
        <v>28625940</v>
      </c>
      <c r="P21" s="658">
        <f t="shared" si="16"/>
        <v>5927940</v>
      </c>
      <c r="Q21" s="658">
        <f t="shared" si="19"/>
        <v>12349.875</v>
      </c>
      <c r="R21" s="658">
        <v>29903040</v>
      </c>
      <c r="S21" s="658">
        <v>12</v>
      </c>
      <c r="T21" s="659">
        <f t="shared" si="17"/>
        <v>2491920</v>
      </c>
      <c r="U21" s="659">
        <f t="shared" si="8"/>
        <v>29903040</v>
      </c>
      <c r="V21" s="659">
        <f t="shared" si="1"/>
        <v>1345630</v>
      </c>
      <c r="W21" s="659">
        <f t="shared" si="9"/>
        <v>2385495</v>
      </c>
      <c r="X21" s="656">
        <f t="shared" si="2"/>
        <v>868790</v>
      </c>
      <c r="Y21" s="656">
        <f t="shared" si="10"/>
        <v>56900</v>
      </c>
      <c r="Z21" s="656">
        <f t="shared" si="11"/>
        <v>1345630</v>
      </c>
      <c r="AA21" s="660">
        <f t="shared" si="11"/>
        <v>2385495</v>
      </c>
      <c r="AB21" s="661">
        <f>INT((AA21*$AB$3)*(H21+H22)/10)*10</f>
        <v>157440</v>
      </c>
      <c r="AC21" s="662">
        <f t="shared" si="3"/>
        <v>257630</v>
      </c>
      <c r="AD21" s="659">
        <f t="shared" si="12"/>
        <v>2385495</v>
      </c>
      <c r="AE21" s="656">
        <f t="shared" si="4"/>
        <v>200380</v>
      </c>
      <c r="AF21" s="663">
        <f t="shared" si="13"/>
        <v>2729330</v>
      </c>
      <c r="AG21" s="663">
        <f t="shared" si="14"/>
        <v>2385490</v>
      </c>
      <c r="AH21" s="1311">
        <f>O21+AF21+AG21</f>
        <v>33740760</v>
      </c>
      <c r="AI21" s="1311"/>
      <c r="AJ21" s="775">
        <f t="shared" si="15"/>
        <v>2428760</v>
      </c>
      <c r="AK21" s="674">
        <f>X21/$AK$4</f>
        <v>868790</v>
      </c>
      <c r="AL21" s="675">
        <f>Y21/$AK$4</f>
        <v>56900</v>
      </c>
      <c r="AM21" s="675">
        <v>101250</v>
      </c>
      <c r="AN21" s="675">
        <f>Z21/$AK$4</f>
        <v>1345630</v>
      </c>
      <c r="AO21" s="675">
        <f>AC21/$AK$4</f>
        <v>257630</v>
      </c>
      <c r="AP21" s="675">
        <f>AE21/$AK$4</f>
        <v>200380</v>
      </c>
      <c r="AQ21" s="635" t="s">
        <v>335</v>
      </c>
      <c r="AR21" s="676">
        <f>21983400/10</f>
        <v>2198340</v>
      </c>
    </row>
    <row r="22" spans="1:44" s="623" customFormat="1" ht="30" customHeight="1" thickBot="1">
      <c r="A22" s="1301"/>
      <c r="B22" s="668" t="s">
        <v>329</v>
      </c>
      <c r="C22" s="1310" t="s">
        <v>335</v>
      </c>
      <c r="D22" s="1310"/>
      <c r="E22" s="654">
        <v>4</v>
      </c>
      <c r="F22" s="654">
        <v>4</v>
      </c>
      <c r="G22" s="655">
        <v>1734000</v>
      </c>
      <c r="H22" s="655">
        <v>9</v>
      </c>
      <c r="I22" s="621">
        <f t="shared" si="0"/>
        <v>15606000</v>
      </c>
      <c r="J22" s="656">
        <f t="shared" si="5"/>
        <v>1040400</v>
      </c>
      <c r="K22" s="669"/>
      <c r="L22" s="656">
        <f t="shared" si="18"/>
        <v>4480190</v>
      </c>
      <c r="M22" s="669"/>
      <c r="N22" s="663"/>
      <c r="O22" s="658"/>
      <c r="P22" s="658"/>
      <c r="Q22" s="658">
        <f t="shared" si="19"/>
        <v>0</v>
      </c>
      <c r="R22" s="658"/>
      <c r="S22" s="658"/>
      <c r="T22" s="659"/>
      <c r="U22" s="659">
        <f t="shared" si="8"/>
        <v>0</v>
      </c>
      <c r="V22" s="659">
        <f t="shared" si="1"/>
        <v>0</v>
      </c>
      <c r="W22" s="659">
        <f t="shared" si="9"/>
        <v>0</v>
      </c>
      <c r="X22" s="656">
        <f t="shared" si="2"/>
        <v>0</v>
      </c>
      <c r="Y22" s="656">
        <f t="shared" si="10"/>
        <v>0</v>
      </c>
      <c r="Z22" s="656">
        <f t="shared" si="11"/>
        <v>0</v>
      </c>
      <c r="AA22" s="660">
        <f t="shared" si="11"/>
        <v>0</v>
      </c>
      <c r="AB22" s="659"/>
      <c r="AC22" s="662">
        <f t="shared" si="3"/>
        <v>0</v>
      </c>
      <c r="AD22" s="659">
        <f t="shared" si="12"/>
        <v>0</v>
      </c>
      <c r="AE22" s="656">
        <f t="shared" si="4"/>
        <v>0</v>
      </c>
      <c r="AF22" s="663">
        <f t="shared" si="13"/>
        <v>0</v>
      </c>
      <c r="AG22" s="663">
        <f t="shared" si="14"/>
        <v>0</v>
      </c>
      <c r="AH22" s="666"/>
      <c r="AI22" s="666"/>
      <c r="AJ22" s="775">
        <f t="shared" si="15"/>
        <v>0</v>
      </c>
      <c r="AK22" s="671"/>
      <c r="AL22" s="672"/>
      <c r="AM22" s="672"/>
      <c r="AN22" s="672"/>
      <c r="AO22" s="672"/>
      <c r="AP22" s="672"/>
      <c r="AQ22" s="636"/>
      <c r="AR22" s="673"/>
    </row>
    <row r="23" spans="1:44" s="677" customFormat="1" ht="30" customHeight="1" thickTop="1">
      <c r="A23" s="1301">
        <v>10</v>
      </c>
      <c r="B23" s="668" t="s">
        <v>329</v>
      </c>
      <c r="C23" s="1310" t="s">
        <v>336</v>
      </c>
      <c r="D23" s="1310"/>
      <c r="E23" s="654">
        <v>1</v>
      </c>
      <c r="F23" s="654">
        <v>7</v>
      </c>
      <c r="G23" s="655">
        <v>1940000</v>
      </c>
      <c r="H23" s="655">
        <v>8</v>
      </c>
      <c r="I23" s="621">
        <f t="shared" si="0"/>
        <v>15520000</v>
      </c>
      <c r="J23" s="656">
        <f t="shared" si="5"/>
        <v>1164000</v>
      </c>
      <c r="K23" s="669"/>
      <c r="L23" s="656">
        <f t="shared" si="18"/>
        <v>4455500</v>
      </c>
      <c r="M23" s="669">
        <f>40000*H23</f>
        <v>320000</v>
      </c>
      <c r="N23" s="657">
        <f>SUM((J23:M23),(J24:M24))</f>
        <v>9603140</v>
      </c>
      <c r="O23" s="658">
        <f>I23+N23+I24</f>
        <v>33139140</v>
      </c>
      <c r="P23" s="658">
        <f t="shared" si="16"/>
        <v>6756740</v>
      </c>
      <c r="Q23" s="658">
        <f t="shared" si="19"/>
        <v>14076.541666666666</v>
      </c>
      <c r="R23" s="658">
        <v>34724840</v>
      </c>
      <c r="S23" s="658">
        <v>12</v>
      </c>
      <c r="T23" s="659">
        <f t="shared" si="17"/>
        <v>2893730</v>
      </c>
      <c r="U23" s="659">
        <f t="shared" si="8"/>
        <v>34724760</v>
      </c>
      <c r="V23" s="659">
        <f t="shared" si="1"/>
        <v>1562610</v>
      </c>
      <c r="W23" s="659">
        <f t="shared" si="9"/>
        <v>2761595</v>
      </c>
      <c r="X23" s="656">
        <f t="shared" si="2"/>
        <v>1005770</v>
      </c>
      <c r="Y23" s="656">
        <f t="shared" si="10"/>
        <v>65870</v>
      </c>
      <c r="Z23" s="656">
        <f t="shared" si="11"/>
        <v>1562610</v>
      </c>
      <c r="AA23" s="660">
        <f t="shared" si="11"/>
        <v>2761595</v>
      </c>
      <c r="AB23" s="661">
        <f>INT((AA23*$AB$3)*(H23+H24)/10)*10</f>
        <v>182260</v>
      </c>
      <c r="AC23" s="662">
        <f t="shared" si="3"/>
        <v>298250</v>
      </c>
      <c r="AD23" s="659">
        <f t="shared" si="12"/>
        <v>2761595</v>
      </c>
      <c r="AE23" s="656">
        <f t="shared" si="4"/>
        <v>231970</v>
      </c>
      <c r="AF23" s="663">
        <f t="shared" si="13"/>
        <v>3164470</v>
      </c>
      <c r="AG23" s="663">
        <f t="shared" si="14"/>
        <v>2761590</v>
      </c>
      <c r="AH23" s="1311">
        <f>O23+AF23+AG23</f>
        <v>39065200</v>
      </c>
      <c r="AI23" s="1311"/>
      <c r="AJ23" s="775">
        <f t="shared" si="15"/>
        <v>2816510</v>
      </c>
      <c r="AK23" s="674">
        <f>X23/$AK$4</f>
        <v>1005770</v>
      </c>
      <c r="AL23" s="675">
        <f>Y23/$AK$4</f>
        <v>65870</v>
      </c>
      <c r="AM23" s="675">
        <v>114750</v>
      </c>
      <c r="AN23" s="675">
        <f>Z23/$AK$4</f>
        <v>1562610</v>
      </c>
      <c r="AO23" s="675">
        <f>AC23/$AK$4</f>
        <v>298250</v>
      </c>
      <c r="AP23" s="675">
        <f>AE23/$AK$4</f>
        <v>231970</v>
      </c>
      <c r="AQ23" s="635" t="s">
        <v>336</v>
      </c>
      <c r="AR23" s="676">
        <f>22453760/9</f>
        <v>2494862.222222222</v>
      </c>
    </row>
    <row r="24" spans="1:44" s="623" customFormat="1" ht="30" customHeight="1" thickBot="1">
      <c r="A24" s="1301"/>
      <c r="B24" s="668" t="s">
        <v>329</v>
      </c>
      <c r="C24" s="1310" t="s">
        <v>336</v>
      </c>
      <c r="D24" s="1310"/>
      <c r="E24" s="654">
        <v>9</v>
      </c>
      <c r="F24" s="654">
        <v>8</v>
      </c>
      <c r="G24" s="655">
        <v>2004000</v>
      </c>
      <c r="H24" s="655">
        <v>4</v>
      </c>
      <c r="I24" s="621">
        <f t="shared" si="0"/>
        <v>8016000</v>
      </c>
      <c r="J24" s="656">
        <f t="shared" si="5"/>
        <v>1202400</v>
      </c>
      <c r="K24" s="669"/>
      <c r="L24" s="656">
        <f t="shared" si="18"/>
        <v>2301240</v>
      </c>
      <c r="M24" s="669">
        <f>40000*H24</f>
        <v>160000</v>
      </c>
      <c r="N24" s="663"/>
      <c r="O24" s="658"/>
      <c r="P24" s="658"/>
      <c r="Q24" s="658">
        <f t="shared" si="19"/>
        <v>0</v>
      </c>
      <c r="R24" s="658"/>
      <c r="S24" s="658"/>
      <c r="T24" s="659"/>
      <c r="U24" s="659">
        <f t="shared" si="8"/>
        <v>0</v>
      </c>
      <c r="V24" s="659">
        <f t="shared" si="1"/>
        <v>0</v>
      </c>
      <c r="W24" s="659">
        <f t="shared" si="9"/>
        <v>0</v>
      </c>
      <c r="X24" s="656">
        <f t="shared" si="2"/>
        <v>0</v>
      </c>
      <c r="Y24" s="656">
        <f t="shared" si="10"/>
        <v>0</v>
      </c>
      <c r="Z24" s="656">
        <f t="shared" si="11"/>
        <v>0</v>
      </c>
      <c r="AA24" s="660">
        <f t="shared" si="11"/>
        <v>0</v>
      </c>
      <c r="AB24" s="659"/>
      <c r="AC24" s="662">
        <f t="shared" si="3"/>
        <v>0</v>
      </c>
      <c r="AD24" s="659">
        <f t="shared" si="12"/>
        <v>0</v>
      </c>
      <c r="AE24" s="656">
        <f t="shared" si="4"/>
        <v>0</v>
      </c>
      <c r="AF24" s="663">
        <f t="shared" si="13"/>
        <v>0</v>
      </c>
      <c r="AG24" s="663">
        <f t="shared" si="14"/>
        <v>0</v>
      </c>
      <c r="AH24" s="666"/>
      <c r="AI24" s="666"/>
      <c r="AJ24" s="775">
        <f t="shared" si="15"/>
        <v>0</v>
      </c>
      <c r="AK24" s="671"/>
      <c r="AL24" s="672"/>
      <c r="AM24" s="672"/>
      <c r="AN24" s="672"/>
      <c r="AO24" s="672"/>
      <c r="AP24" s="672"/>
      <c r="AQ24" s="636"/>
      <c r="AR24" s="673"/>
    </row>
    <row r="25" spans="1:44" s="677" customFormat="1" ht="30" customHeight="1" thickTop="1">
      <c r="A25" s="1301">
        <v>11</v>
      </c>
      <c r="B25" s="668" t="s">
        <v>329</v>
      </c>
      <c r="C25" s="1310" t="s">
        <v>337</v>
      </c>
      <c r="D25" s="1310"/>
      <c r="E25" s="654">
        <v>1</v>
      </c>
      <c r="F25" s="654">
        <v>8</v>
      </c>
      <c r="G25" s="655">
        <v>2004000</v>
      </c>
      <c r="H25" s="655">
        <v>3</v>
      </c>
      <c r="I25" s="621">
        <f t="shared" si="0"/>
        <v>6012000</v>
      </c>
      <c r="J25" s="656">
        <f t="shared" si="5"/>
        <v>1202400</v>
      </c>
      <c r="K25" s="669"/>
      <c r="L25" s="656">
        <f t="shared" si="18"/>
        <v>1725930</v>
      </c>
      <c r="M25" s="669"/>
      <c r="N25" s="657">
        <f>SUM((J25:M25),(J26:M26))</f>
        <v>9365830</v>
      </c>
      <c r="O25" s="658">
        <f>I25+N25+I26</f>
        <v>33575830</v>
      </c>
      <c r="P25" s="658">
        <f t="shared" si="16"/>
        <v>6950230</v>
      </c>
      <c r="Q25" s="658">
        <f t="shared" si="19"/>
        <v>14479.645833333334</v>
      </c>
      <c r="R25" s="658">
        <v>35639230</v>
      </c>
      <c r="S25" s="658">
        <v>12</v>
      </c>
      <c r="T25" s="659">
        <f t="shared" si="17"/>
        <v>2969930</v>
      </c>
      <c r="U25" s="659">
        <f t="shared" si="8"/>
        <v>35639160</v>
      </c>
      <c r="V25" s="659">
        <f t="shared" si="1"/>
        <v>1603760</v>
      </c>
      <c r="W25" s="659">
        <f t="shared" si="9"/>
        <v>2797985.8333333335</v>
      </c>
      <c r="X25" s="656">
        <f t="shared" si="2"/>
        <v>1019020</v>
      </c>
      <c r="Y25" s="656">
        <f t="shared" si="10"/>
        <v>66740</v>
      </c>
      <c r="Z25" s="656">
        <f t="shared" si="11"/>
        <v>1603760</v>
      </c>
      <c r="AA25" s="660">
        <f t="shared" si="11"/>
        <v>2797985.8333333335</v>
      </c>
      <c r="AB25" s="661">
        <f>INT((AA25*$AB$3)*(H25+H26)/10)*10</f>
        <v>184660</v>
      </c>
      <c r="AC25" s="662">
        <f t="shared" si="3"/>
        <v>302180</v>
      </c>
      <c r="AD25" s="659">
        <f t="shared" si="12"/>
        <v>2797985.8333333335</v>
      </c>
      <c r="AE25" s="656">
        <f t="shared" si="4"/>
        <v>235030</v>
      </c>
      <c r="AF25" s="663">
        <f t="shared" si="13"/>
        <v>3226730</v>
      </c>
      <c r="AG25" s="663">
        <f t="shared" si="14"/>
        <v>2797980</v>
      </c>
      <c r="AH25" s="1311">
        <f>O25+AF25+AG25</f>
        <v>39600540</v>
      </c>
      <c r="AI25" s="1311"/>
      <c r="AJ25" s="775">
        <f t="shared" si="15"/>
        <v>2874180</v>
      </c>
      <c r="AK25" s="674">
        <f>X25/$AK$4</f>
        <v>1019020</v>
      </c>
      <c r="AL25" s="675">
        <f>Y25/$AK$4</f>
        <v>66740</v>
      </c>
      <c r="AM25" s="675">
        <v>114750</v>
      </c>
      <c r="AN25" s="675">
        <f>Z25/$AK$4</f>
        <v>1603760</v>
      </c>
      <c r="AO25" s="675">
        <f>AC25/$AK$4</f>
        <v>302180</v>
      </c>
      <c r="AP25" s="675">
        <f>AE25/$AK$4</f>
        <v>235030</v>
      </c>
      <c r="AQ25" s="635" t="s">
        <v>337</v>
      </c>
      <c r="AR25" s="676">
        <f>27976100/11</f>
        <v>2543281.8181818184</v>
      </c>
    </row>
    <row r="26" spans="1:44" s="623" customFormat="1" ht="30" customHeight="1" thickBot="1">
      <c r="A26" s="1301"/>
      <c r="B26" s="668" t="s">
        <v>329</v>
      </c>
      <c r="C26" s="1310" t="s">
        <v>337</v>
      </c>
      <c r="D26" s="1310"/>
      <c r="E26" s="654">
        <v>4</v>
      </c>
      <c r="F26" s="654">
        <v>9</v>
      </c>
      <c r="G26" s="655">
        <v>2022000</v>
      </c>
      <c r="H26" s="655">
        <v>9</v>
      </c>
      <c r="I26" s="621">
        <f t="shared" si="0"/>
        <v>18198000</v>
      </c>
      <c r="J26" s="656">
        <f t="shared" si="5"/>
        <v>1213200</v>
      </c>
      <c r="K26" s="669"/>
      <c r="L26" s="656">
        <f t="shared" si="18"/>
        <v>5224300</v>
      </c>
      <c r="M26" s="669"/>
      <c r="N26" s="663"/>
      <c r="O26" s="658"/>
      <c r="P26" s="658"/>
      <c r="Q26" s="658">
        <f t="shared" si="19"/>
        <v>0</v>
      </c>
      <c r="R26" s="658"/>
      <c r="S26" s="658"/>
      <c r="T26" s="659"/>
      <c r="U26" s="659">
        <f t="shared" si="8"/>
        <v>0</v>
      </c>
      <c r="V26" s="659">
        <f t="shared" si="1"/>
        <v>0</v>
      </c>
      <c r="W26" s="659">
        <f t="shared" si="9"/>
        <v>0</v>
      </c>
      <c r="X26" s="656">
        <f t="shared" si="2"/>
        <v>0</v>
      </c>
      <c r="Y26" s="656">
        <f t="shared" si="10"/>
        <v>0</v>
      </c>
      <c r="Z26" s="656">
        <f t="shared" si="11"/>
        <v>0</v>
      </c>
      <c r="AA26" s="660">
        <f t="shared" si="11"/>
        <v>0</v>
      </c>
      <c r="AB26" s="659"/>
      <c r="AC26" s="662">
        <f t="shared" si="3"/>
        <v>0</v>
      </c>
      <c r="AD26" s="659">
        <f t="shared" si="12"/>
        <v>0</v>
      </c>
      <c r="AE26" s="656">
        <f t="shared" si="4"/>
        <v>0</v>
      </c>
      <c r="AF26" s="663">
        <f t="shared" si="13"/>
        <v>0</v>
      </c>
      <c r="AG26" s="663">
        <f t="shared" si="14"/>
        <v>0</v>
      </c>
      <c r="AH26" s="666"/>
      <c r="AI26" s="666"/>
      <c r="AJ26" s="775">
        <f t="shared" si="15"/>
        <v>0</v>
      </c>
      <c r="AK26" s="671"/>
      <c r="AL26" s="672"/>
      <c r="AM26" s="672"/>
      <c r="AN26" s="672"/>
      <c r="AO26" s="672"/>
      <c r="AP26" s="672"/>
      <c r="AQ26" s="636"/>
      <c r="AR26" s="673"/>
    </row>
    <row r="27" spans="1:44" s="677" customFormat="1" ht="30" customHeight="1" thickTop="1">
      <c r="A27" s="1301">
        <v>12</v>
      </c>
      <c r="B27" s="668" t="s">
        <v>329</v>
      </c>
      <c r="C27" s="1310" t="s">
        <v>338</v>
      </c>
      <c r="D27" s="1310"/>
      <c r="E27" s="654">
        <v>1</v>
      </c>
      <c r="F27" s="654">
        <v>8</v>
      </c>
      <c r="G27" s="655">
        <v>2004000</v>
      </c>
      <c r="H27" s="655">
        <v>11</v>
      </c>
      <c r="I27" s="621">
        <f t="shared" si="0"/>
        <v>22044000</v>
      </c>
      <c r="J27" s="656">
        <f>G27*1.26</f>
        <v>2525040</v>
      </c>
      <c r="K27" s="669"/>
      <c r="L27" s="656">
        <f t="shared" si="18"/>
        <v>6328420</v>
      </c>
      <c r="M27" s="669"/>
      <c r="N27" s="657">
        <f>SUM((J27:M27),(J28:M28))</f>
        <v>9433930</v>
      </c>
      <c r="O27" s="658">
        <f>I27+N27+I28</f>
        <v>33499930</v>
      </c>
      <c r="P27" s="658">
        <f t="shared" si="16"/>
        <v>6908890</v>
      </c>
      <c r="Q27" s="658">
        <f t="shared" si="19"/>
        <v>14393.520833333334</v>
      </c>
      <c r="R27" s="658">
        <v>34925130</v>
      </c>
      <c r="S27" s="658">
        <v>12</v>
      </c>
      <c r="T27" s="659">
        <f t="shared" si="17"/>
        <v>2910420</v>
      </c>
      <c r="U27" s="659">
        <f t="shared" si="8"/>
        <v>34925040</v>
      </c>
      <c r="V27" s="659">
        <f t="shared" si="1"/>
        <v>1571620</v>
      </c>
      <c r="W27" s="659">
        <f t="shared" si="9"/>
        <v>2791660.8333333335</v>
      </c>
      <c r="X27" s="656">
        <f t="shared" si="2"/>
        <v>1016720</v>
      </c>
      <c r="Y27" s="656">
        <f t="shared" si="10"/>
        <v>66590</v>
      </c>
      <c r="Z27" s="656">
        <f t="shared" si="11"/>
        <v>1571620</v>
      </c>
      <c r="AA27" s="660">
        <f t="shared" si="11"/>
        <v>2791660.8333333335</v>
      </c>
      <c r="AB27" s="661">
        <f>INT((AA27*$AB$3)*(H27+H28)/10)*10</f>
        <v>184240</v>
      </c>
      <c r="AC27" s="662">
        <f t="shared" si="3"/>
        <v>301490</v>
      </c>
      <c r="AD27" s="659">
        <f t="shared" si="12"/>
        <v>2791660.8333333335</v>
      </c>
      <c r="AE27" s="656">
        <f t="shared" si="4"/>
        <v>234490</v>
      </c>
      <c r="AF27" s="663">
        <f t="shared" si="13"/>
        <v>3190910</v>
      </c>
      <c r="AG27" s="663">
        <f t="shared" si="14"/>
        <v>2791660</v>
      </c>
      <c r="AH27" s="1311">
        <f>O27+AF27+AG27</f>
        <v>39482500</v>
      </c>
      <c r="AI27" s="1311"/>
      <c r="AJ27" s="775">
        <f t="shared" si="15"/>
        <v>2839170</v>
      </c>
      <c r="AK27" s="674">
        <f>X27/$AK$4</f>
        <v>1016720</v>
      </c>
      <c r="AL27" s="675">
        <f>Y27/$AK$4</f>
        <v>66590</v>
      </c>
      <c r="AM27" s="675">
        <v>114750</v>
      </c>
      <c r="AN27" s="675">
        <f>Z27/$AK$4</f>
        <v>1571620</v>
      </c>
      <c r="AO27" s="675">
        <f>AC27/$AK$4</f>
        <v>301490</v>
      </c>
      <c r="AP27" s="675">
        <f>AE27/$AK$4</f>
        <v>234490</v>
      </c>
      <c r="AQ27" s="635"/>
      <c r="AR27" s="676">
        <f>13200480/5</f>
        <v>2640096</v>
      </c>
    </row>
    <row r="28" spans="1:44" s="623" customFormat="1" ht="30" customHeight="1" thickBot="1">
      <c r="A28" s="1301"/>
      <c r="B28" s="668" t="s">
        <v>329</v>
      </c>
      <c r="C28" s="1310" t="s">
        <v>338</v>
      </c>
      <c r="D28" s="1310"/>
      <c r="E28" s="654">
        <v>12</v>
      </c>
      <c r="F28" s="654">
        <v>9</v>
      </c>
      <c r="G28" s="655">
        <v>2022000</v>
      </c>
      <c r="H28" s="655">
        <v>1</v>
      </c>
      <c r="I28" s="621">
        <f t="shared" si="0"/>
        <v>2022000</v>
      </c>
      <c r="J28" s="656"/>
      <c r="K28" s="669"/>
      <c r="L28" s="656">
        <f t="shared" si="18"/>
        <v>580470</v>
      </c>
      <c r="M28" s="669"/>
      <c r="N28" s="663"/>
      <c r="O28" s="658"/>
      <c r="P28" s="658"/>
      <c r="Q28" s="658">
        <f t="shared" si="19"/>
        <v>0</v>
      </c>
      <c r="R28" s="658"/>
      <c r="S28" s="658"/>
      <c r="T28" s="659"/>
      <c r="U28" s="659">
        <f t="shared" si="8"/>
        <v>0</v>
      </c>
      <c r="V28" s="659">
        <f t="shared" si="1"/>
        <v>0</v>
      </c>
      <c r="W28" s="659">
        <f t="shared" si="9"/>
        <v>0</v>
      </c>
      <c r="X28" s="656">
        <f t="shared" si="2"/>
        <v>0</v>
      </c>
      <c r="Y28" s="656">
        <f t="shared" si="10"/>
        <v>0</v>
      </c>
      <c r="Z28" s="656">
        <f t="shared" si="11"/>
        <v>0</v>
      </c>
      <c r="AA28" s="660">
        <f t="shared" si="11"/>
        <v>0</v>
      </c>
      <c r="AB28" s="659"/>
      <c r="AC28" s="662">
        <f t="shared" si="3"/>
        <v>0</v>
      </c>
      <c r="AD28" s="659">
        <f t="shared" si="12"/>
        <v>0</v>
      </c>
      <c r="AE28" s="656">
        <f t="shared" si="4"/>
        <v>0</v>
      </c>
      <c r="AF28" s="663">
        <f t="shared" si="13"/>
        <v>0</v>
      </c>
      <c r="AG28" s="663">
        <f t="shared" si="14"/>
        <v>0</v>
      </c>
      <c r="AH28" s="666"/>
      <c r="AI28" s="666"/>
      <c r="AJ28" s="775">
        <f t="shared" si="15"/>
        <v>0</v>
      </c>
      <c r="AK28" s="671"/>
      <c r="AL28" s="672"/>
      <c r="AM28" s="672"/>
      <c r="AN28" s="672"/>
      <c r="AO28" s="672"/>
      <c r="AP28" s="672"/>
      <c r="AQ28" s="636"/>
      <c r="AR28" s="673"/>
    </row>
    <row r="29" spans="1:44" s="677" customFormat="1" ht="30" customHeight="1" thickTop="1">
      <c r="A29" s="1301">
        <v>13</v>
      </c>
      <c r="B29" s="668" t="s">
        <v>329</v>
      </c>
      <c r="C29" s="1310" t="s">
        <v>339</v>
      </c>
      <c r="D29" s="1310"/>
      <c r="E29" s="654">
        <v>1</v>
      </c>
      <c r="F29" s="654">
        <v>8</v>
      </c>
      <c r="G29" s="655">
        <v>2004000</v>
      </c>
      <c r="H29" s="655">
        <v>6</v>
      </c>
      <c r="I29" s="621">
        <f t="shared" si="0"/>
        <v>12024000</v>
      </c>
      <c r="J29" s="656">
        <f t="shared" si="5"/>
        <v>1202400</v>
      </c>
      <c r="K29" s="669"/>
      <c r="L29" s="656">
        <f t="shared" si="18"/>
        <v>3451860</v>
      </c>
      <c r="M29" s="669"/>
      <c r="N29" s="657">
        <f>SUM((J29:M29),(J30:M30))</f>
        <v>9350330</v>
      </c>
      <c r="O29" s="658">
        <f>I29+N29+I30</f>
        <v>33506330</v>
      </c>
      <c r="P29" s="658">
        <f t="shared" si="16"/>
        <v>6934730</v>
      </c>
      <c r="Q29" s="658">
        <f t="shared" si="19"/>
        <v>14447.354166666666</v>
      </c>
      <c r="R29" s="658">
        <v>35371440</v>
      </c>
      <c r="S29" s="658">
        <v>12</v>
      </c>
      <c r="T29" s="659">
        <f t="shared" si="17"/>
        <v>2947620</v>
      </c>
      <c r="U29" s="659">
        <f>T29*9</f>
        <v>26528580</v>
      </c>
      <c r="V29" s="659">
        <f t="shared" si="1"/>
        <v>1591710</v>
      </c>
      <c r="W29" s="659">
        <f t="shared" si="9"/>
        <v>2792194.1666666665</v>
      </c>
      <c r="X29" s="656">
        <f t="shared" si="2"/>
        <v>1016910</v>
      </c>
      <c r="Y29" s="656">
        <f t="shared" si="10"/>
        <v>66600</v>
      </c>
      <c r="Z29" s="656">
        <f t="shared" si="11"/>
        <v>1591710</v>
      </c>
      <c r="AA29" s="660">
        <f t="shared" si="11"/>
        <v>2792194.1666666665</v>
      </c>
      <c r="AB29" s="661">
        <f>INT((AA29*$AB$3)*(H29+H30)/10)*10</f>
        <v>184280</v>
      </c>
      <c r="AC29" s="662">
        <f t="shared" si="3"/>
        <v>301550</v>
      </c>
      <c r="AD29" s="659">
        <f t="shared" si="12"/>
        <v>2792194.1666666665</v>
      </c>
      <c r="AE29" s="656">
        <f t="shared" si="4"/>
        <v>234540</v>
      </c>
      <c r="AF29" s="663">
        <f t="shared" si="13"/>
        <v>3211310</v>
      </c>
      <c r="AG29" s="663">
        <f t="shared" si="14"/>
        <v>2792190</v>
      </c>
      <c r="AH29" s="1311">
        <f>O29+AF29+AG29</f>
        <v>39509830</v>
      </c>
      <c r="AI29" s="1311"/>
      <c r="AJ29" s="775">
        <f t="shared" si="15"/>
        <v>2859500</v>
      </c>
      <c r="AK29" s="674">
        <f>X29/$AK$4</f>
        <v>1016910</v>
      </c>
      <c r="AL29" s="675">
        <f>Y29/$AK$4</f>
        <v>66600</v>
      </c>
      <c r="AM29" s="675">
        <v>114750</v>
      </c>
      <c r="AN29" s="675">
        <f>Z29/$AK$4</f>
        <v>1591710</v>
      </c>
      <c r="AO29" s="675">
        <f>AC29/$AK$4</f>
        <v>301550</v>
      </c>
      <c r="AP29" s="675">
        <f>AE29/$AK$4</f>
        <v>234540</v>
      </c>
      <c r="AQ29" s="635"/>
      <c r="AR29" s="678">
        <v>2550000</v>
      </c>
    </row>
    <row r="30" spans="1:44" s="623" customFormat="1" ht="30" customHeight="1" thickBot="1">
      <c r="A30" s="1301"/>
      <c r="B30" s="668" t="s">
        <v>329</v>
      </c>
      <c r="C30" s="1310" t="s">
        <v>339</v>
      </c>
      <c r="D30" s="1310"/>
      <c r="E30" s="654">
        <v>7</v>
      </c>
      <c r="F30" s="654">
        <v>9</v>
      </c>
      <c r="G30" s="655">
        <v>2022000</v>
      </c>
      <c r="H30" s="655">
        <v>6</v>
      </c>
      <c r="I30" s="621">
        <f t="shared" si="0"/>
        <v>12132000</v>
      </c>
      <c r="J30" s="656">
        <f t="shared" si="5"/>
        <v>1213200</v>
      </c>
      <c r="K30" s="669"/>
      <c r="L30" s="656">
        <f t="shared" si="18"/>
        <v>3482870</v>
      </c>
      <c r="M30" s="669"/>
      <c r="N30" s="663"/>
      <c r="O30" s="658"/>
      <c r="P30" s="658"/>
      <c r="Q30" s="658">
        <f t="shared" si="19"/>
        <v>0</v>
      </c>
      <c r="R30" s="658"/>
      <c r="S30" s="658"/>
      <c r="T30" s="659"/>
      <c r="U30" s="659">
        <f t="shared" si="8"/>
        <v>0</v>
      </c>
      <c r="V30" s="659">
        <f>INT((T30*0.045*(H30+H33))/10)*10</f>
        <v>0</v>
      </c>
      <c r="W30" s="659">
        <f t="shared" si="9"/>
        <v>0</v>
      </c>
      <c r="X30" s="656">
        <f>INT(W30*$X$3*(H30+H33)/10)*10</f>
        <v>0</v>
      </c>
      <c r="Y30" s="656">
        <f t="shared" si="10"/>
        <v>0</v>
      </c>
      <c r="Z30" s="656">
        <f t="shared" si="11"/>
        <v>0</v>
      </c>
      <c r="AA30" s="660">
        <f t="shared" si="11"/>
        <v>0</v>
      </c>
      <c r="AB30" s="659"/>
      <c r="AC30" s="662">
        <f>INT((AA30*$AC$3)*(H30+H33)/10)*10</f>
        <v>0</v>
      </c>
      <c r="AD30" s="659">
        <f t="shared" si="12"/>
        <v>0</v>
      </c>
      <c r="AE30" s="656">
        <f>ROUNDDOWN((AD30*$AE$3)*(H30+H33),-1)</f>
        <v>0</v>
      </c>
      <c r="AF30" s="663">
        <f t="shared" si="13"/>
        <v>0</v>
      </c>
      <c r="AG30" s="663">
        <f t="shared" si="14"/>
        <v>0</v>
      </c>
      <c r="AH30" s="666"/>
      <c r="AI30" s="666"/>
      <c r="AJ30" s="775">
        <f t="shared" si="15"/>
        <v>0</v>
      </c>
      <c r="AK30" s="671"/>
      <c r="AL30" s="672"/>
      <c r="AM30" s="672"/>
      <c r="AN30" s="672"/>
      <c r="AO30" s="672"/>
      <c r="AP30" s="672"/>
      <c r="AQ30" s="636"/>
      <c r="AR30" s="679"/>
    </row>
    <row r="31" spans="1:44" s="133" customFormat="1" ht="30" customHeight="1" thickTop="1">
      <c r="A31" s="1301">
        <v>14</v>
      </c>
      <c r="B31" s="680" t="s">
        <v>329</v>
      </c>
      <c r="C31" s="1316"/>
      <c r="D31" s="1316"/>
      <c r="E31" s="681">
        <v>1</v>
      </c>
      <c r="F31" s="681">
        <v>5</v>
      </c>
      <c r="G31" s="682">
        <v>1785000</v>
      </c>
      <c r="H31" s="682">
        <v>6</v>
      </c>
      <c r="I31" s="683">
        <f t="shared" si="0"/>
        <v>10710000</v>
      </c>
      <c r="J31" s="684">
        <f t="shared" si="5"/>
        <v>1071000</v>
      </c>
      <c r="K31" s="684"/>
      <c r="L31" s="684">
        <f t="shared" si="18"/>
        <v>3074640</v>
      </c>
      <c r="M31" s="684"/>
      <c r="N31" s="685">
        <f>SUM((J31:M31),(J32:M32))</f>
        <v>8542100</v>
      </c>
      <c r="O31" s="683">
        <f>I31+N31+I32</f>
        <v>30610100</v>
      </c>
      <c r="P31" s="683">
        <f aca="true" t="shared" si="20" ref="P31">L31+L32</f>
        <v>6335300</v>
      </c>
      <c r="Q31" s="683">
        <f t="shared" si="19"/>
        <v>13198.541666666666</v>
      </c>
      <c r="R31" s="683">
        <v>32835210</v>
      </c>
      <c r="S31" s="683">
        <v>12</v>
      </c>
      <c r="T31" s="684">
        <f aca="true" t="shared" si="21" ref="T31">ROUNDDOWN((R31/S31),-1)</f>
        <v>2736260</v>
      </c>
      <c r="U31" s="684">
        <f t="shared" si="8"/>
        <v>32835120</v>
      </c>
      <c r="V31" s="684">
        <f aca="true" t="shared" si="22" ref="V31:V43">INT((T31*0.045*(H31+H32))/10)*10</f>
        <v>1477580</v>
      </c>
      <c r="W31" s="684">
        <f t="shared" si="9"/>
        <v>2550841.6666666665</v>
      </c>
      <c r="X31" s="684">
        <f aca="true" t="shared" si="23" ref="X31:X43">INT(W31*$X$3*(H31+H32)/10)*10</f>
        <v>929010</v>
      </c>
      <c r="Y31" s="684">
        <f t="shared" si="10"/>
        <v>60850</v>
      </c>
      <c r="Z31" s="684">
        <f t="shared" si="11"/>
        <v>1477580</v>
      </c>
      <c r="AA31" s="686">
        <f t="shared" si="11"/>
        <v>2550841.6666666665</v>
      </c>
      <c r="AB31" s="687">
        <f>INT((AA31*$AB$3)*(H31+H32)/10)*10</f>
        <v>168350</v>
      </c>
      <c r="AC31" s="687">
        <f aca="true" t="shared" si="24" ref="AC31:AC43">INT((AA31*$AC$3)*(H31+H32)/10)*10</f>
        <v>275490</v>
      </c>
      <c r="AD31" s="684">
        <f t="shared" si="12"/>
        <v>2550841.6666666665</v>
      </c>
      <c r="AE31" s="684">
        <f aca="true" t="shared" si="25" ref="AE31:AE43">ROUNDDOWN((AD31*$AE$3)*(H31+H32),-1)</f>
        <v>214270</v>
      </c>
      <c r="AF31" s="683">
        <f t="shared" si="13"/>
        <v>2957200</v>
      </c>
      <c r="AG31" s="683">
        <f t="shared" si="14"/>
        <v>2550840</v>
      </c>
      <c r="AH31" s="1317">
        <f>O31+AF31+AG31</f>
        <v>36118140</v>
      </c>
      <c r="AI31" s="1317"/>
      <c r="AJ31" s="775">
        <f t="shared" si="15"/>
        <v>2635790</v>
      </c>
      <c r="AK31" s="688"/>
      <c r="AL31" s="689"/>
      <c r="AM31" s="689"/>
      <c r="AN31" s="689"/>
      <c r="AO31" s="689"/>
      <c r="AP31" s="689"/>
      <c r="AQ31" s="690"/>
      <c r="AR31" s="691"/>
    </row>
    <row r="32" spans="1:44" s="133" customFormat="1" ht="30" customHeight="1" thickBot="1">
      <c r="A32" s="1301"/>
      <c r="B32" s="680" t="s">
        <v>329</v>
      </c>
      <c r="C32" s="1316"/>
      <c r="D32" s="1316"/>
      <c r="E32" s="681">
        <v>7</v>
      </c>
      <c r="F32" s="681">
        <v>6</v>
      </c>
      <c r="G32" s="682">
        <v>1893000</v>
      </c>
      <c r="H32" s="682">
        <v>6</v>
      </c>
      <c r="I32" s="683">
        <f t="shared" si="0"/>
        <v>11358000</v>
      </c>
      <c r="J32" s="684">
        <f t="shared" si="5"/>
        <v>1135800</v>
      </c>
      <c r="K32" s="684"/>
      <c r="L32" s="684">
        <f t="shared" si="18"/>
        <v>3260660</v>
      </c>
      <c r="M32" s="684"/>
      <c r="N32" s="683"/>
      <c r="O32" s="683"/>
      <c r="P32" s="683"/>
      <c r="Q32" s="683">
        <f t="shared" si="19"/>
        <v>0</v>
      </c>
      <c r="R32" s="683"/>
      <c r="S32" s="683"/>
      <c r="T32" s="684"/>
      <c r="U32" s="684">
        <f t="shared" si="8"/>
        <v>0</v>
      </c>
      <c r="V32" s="684">
        <f t="shared" si="22"/>
        <v>0</v>
      </c>
      <c r="W32" s="684">
        <f t="shared" si="9"/>
        <v>0</v>
      </c>
      <c r="X32" s="684">
        <f t="shared" si="23"/>
        <v>0</v>
      </c>
      <c r="Y32" s="684">
        <f t="shared" si="10"/>
        <v>0</v>
      </c>
      <c r="Z32" s="684">
        <f t="shared" si="11"/>
        <v>0</v>
      </c>
      <c r="AA32" s="686">
        <f t="shared" si="11"/>
        <v>0</v>
      </c>
      <c r="AB32" s="684"/>
      <c r="AC32" s="687">
        <f t="shared" si="24"/>
        <v>0</v>
      </c>
      <c r="AD32" s="684">
        <f t="shared" si="12"/>
        <v>0</v>
      </c>
      <c r="AE32" s="684">
        <f t="shared" si="25"/>
        <v>0</v>
      </c>
      <c r="AF32" s="683">
        <f t="shared" si="13"/>
        <v>0</v>
      </c>
      <c r="AG32" s="683">
        <f t="shared" si="14"/>
        <v>0</v>
      </c>
      <c r="AH32" s="692"/>
      <c r="AI32" s="692"/>
      <c r="AJ32" s="775">
        <f t="shared" si="15"/>
        <v>0</v>
      </c>
      <c r="AK32" s="688"/>
      <c r="AL32" s="689"/>
      <c r="AM32" s="689"/>
      <c r="AN32" s="689"/>
      <c r="AO32" s="689"/>
      <c r="AP32" s="689"/>
      <c r="AQ32" s="690"/>
      <c r="AR32" s="691"/>
    </row>
    <row r="33" spans="1:44" s="677" customFormat="1" ht="30" customHeight="1" thickTop="1">
      <c r="A33" s="1301">
        <v>15</v>
      </c>
      <c r="B33" s="668" t="s">
        <v>340</v>
      </c>
      <c r="C33" s="1310" t="s">
        <v>341</v>
      </c>
      <c r="D33" s="1310"/>
      <c r="E33" s="654">
        <v>1</v>
      </c>
      <c r="F33" s="654">
        <v>2</v>
      </c>
      <c r="G33" s="655">
        <v>1439000</v>
      </c>
      <c r="H33" s="655">
        <v>6</v>
      </c>
      <c r="I33" s="621">
        <f t="shared" si="0"/>
        <v>8634000</v>
      </c>
      <c r="J33" s="656">
        <f t="shared" si="5"/>
        <v>863400</v>
      </c>
      <c r="K33" s="669"/>
      <c r="L33" s="656">
        <f>ROUNDDOWN((I33*40/209*1.5),-1)</f>
        <v>2478660</v>
      </c>
      <c r="M33" s="669"/>
      <c r="N33" s="657">
        <f>SUM((J33:M33),(J34:M34))</f>
        <v>6802560</v>
      </c>
      <c r="O33" s="658">
        <f>I33+N33+I34</f>
        <v>24376560</v>
      </c>
      <c r="P33" s="658">
        <f t="shared" si="16"/>
        <v>5045160</v>
      </c>
      <c r="Q33" s="658">
        <f t="shared" si="19"/>
        <v>10510.75</v>
      </c>
      <c r="R33" s="658">
        <v>25353710</v>
      </c>
      <c r="S33" s="658">
        <v>12</v>
      </c>
      <c r="T33" s="659">
        <f t="shared" si="17"/>
        <v>2112800</v>
      </c>
      <c r="U33" s="659">
        <f t="shared" si="8"/>
        <v>25353600</v>
      </c>
      <c r="V33" s="659">
        <f t="shared" si="22"/>
        <v>1140910</v>
      </c>
      <c r="W33" s="659">
        <f t="shared" si="9"/>
        <v>2031380</v>
      </c>
      <c r="X33" s="656">
        <f t="shared" si="23"/>
        <v>739820</v>
      </c>
      <c r="Y33" s="656">
        <f t="shared" si="10"/>
        <v>48450</v>
      </c>
      <c r="Z33" s="656">
        <f t="shared" si="11"/>
        <v>1140910</v>
      </c>
      <c r="AA33" s="660">
        <f t="shared" si="11"/>
        <v>2031380</v>
      </c>
      <c r="AB33" s="661">
        <f>INT((AA33*$AB$3)*(H33+H34)/10)*10</f>
        <v>134070</v>
      </c>
      <c r="AC33" s="662">
        <f t="shared" si="24"/>
        <v>219380</v>
      </c>
      <c r="AD33" s="659">
        <f t="shared" si="12"/>
        <v>2031380</v>
      </c>
      <c r="AE33" s="656">
        <f t="shared" si="25"/>
        <v>170630</v>
      </c>
      <c r="AF33" s="663">
        <f t="shared" si="13"/>
        <v>2319190</v>
      </c>
      <c r="AG33" s="663">
        <f t="shared" si="14"/>
        <v>2031380</v>
      </c>
      <c r="AH33" s="1311">
        <f>O33+AF33+AG33</f>
        <v>28727130</v>
      </c>
      <c r="AI33" s="1311"/>
      <c r="AJ33" s="775">
        <f t="shared" si="15"/>
        <v>2063250</v>
      </c>
      <c r="AK33" s="674">
        <f>X33/$AK$4</f>
        <v>739820</v>
      </c>
      <c r="AL33" s="675">
        <f>Y33/$AK$4</f>
        <v>48450</v>
      </c>
      <c r="AM33" s="675">
        <v>82980</v>
      </c>
      <c r="AN33" s="675">
        <f>Z33/$AK$4</f>
        <v>1140910</v>
      </c>
      <c r="AO33" s="675">
        <f>AC33/$AK$4</f>
        <v>219380</v>
      </c>
      <c r="AP33" s="675">
        <f>AE33/$AK$4</f>
        <v>170630</v>
      </c>
      <c r="AQ33" s="635" t="s">
        <v>342</v>
      </c>
      <c r="AR33" s="676">
        <f>25665840/12</f>
        <v>2138820</v>
      </c>
    </row>
    <row r="34" spans="1:44" s="623" customFormat="1" ht="30" customHeight="1" thickBot="1">
      <c r="A34" s="1301"/>
      <c r="B34" s="668" t="s">
        <v>340</v>
      </c>
      <c r="C34" s="1310" t="s">
        <v>341</v>
      </c>
      <c r="D34" s="1310"/>
      <c r="E34" s="654">
        <v>7</v>
      </c>
      <c r="F34" s="654">
        <v>3</v>
      </c>
      <c r="G34" s="655">
        <v>1490000</v>
      </c>
      <c r="H34" s="655">
        <v>6</v>
      </c>
      <c r="I34" s="621">
        <f t="shared" si="0"/>
        <v>8940000</v>
      </c>
      <c r="J34" s="656">
        <f t="shared" si="5"/>
        <v>894000</v>
      </c>
      <c r="K34" s="669"/>
      <c r="L34" s="656">
        <f aca="true" t="shared" si="26" ref="L34:L36">ROUNDDOWN((I34*40/209*1.5),-1)</f>
        <v>2566500</v>
      </c>
      <c r="M34" s="669"/>
      <c r="N34" s="663"/>
      <c r="O34" s="658"/>
      <c r="P34" s="658"/>
      <c r="Q34" s="658">
        <f t="shared" si="19"/>
        <v>0</v>
      </c>
      <c r="R34" s="658"/>
      <c r="S34" s="658"/>
      <c r="T34" s="659"/>
      <c r="U34" s="659">
        <f t="shared" si="8"/>
        <v>0</v>
      </c>
      <c r="V34" s="659">
        <f t="shared" si="22"/>
        <v>0</v>
      </c>
      <c r="W34" s="659">
        <f t="shared" si="9"/>
        <v>0</v>
      </c>
      <c r="X34" s="656">
        <f t="shared" si="23"/>
        <v>0</v>
      </c>
      <c r="Y34" s="656">
        <f t="shared" si="10"/>
        <v>0</v>
      </c>
      <c r="Z34" s="656">
        <f t="shared" si="11"/>
        <v>0</v>
      </c>
      <c r="AA34" s="660">
        <f t="shared" si="11"/>
        <v>0</v>
      </c>
      <c r="AB34" s="659"/>
      <c r="AC34" s="662">
        <f t="shared" si="24"/>
        <v>0</v>
      </c>
      <c r="AD34" s="659">
        <f t="shared" si="12"/>
        <v>0</v>
      </c>
      <c r="AE34" s="656">
        <f t="shared" si="25"/>
        <v>0</v>
      </c>
      <c r="AF34" s="663">
        <f t="shared" si="13"/>
        <v>0</v>
      </c>
      <c r="AG34" s="663">
        <f t="shared" si="14"/>
        <v>0</v>
      </c>
      <c r="AH34" s="666"/>
      <c r="AI34" s="666"/>
      <c r="AJ34" s="775">
        <f t="shared" si="15"/>
        <v>0</v>
      </c>
      <c r="AK34" s="671"/>
      <c r="AL34" s="672"/>
      <c r="AM34" s="672"/>
      <c r="AN34" s="672"/>
      <c r="AO34" s="672"/>
      <c r="AP34" s="672"/>
      <c r="AQ34" s="636"/>
      <c r="AR34" s="673"/>
    </row>
    <row r="35" spans="1:44" s="677" customFormat="1" ht="30" customHeight="1" thickTop="1">
      <c r="A35" s="1301">
        <v>16</v>
      </c>
      <c r="B35" s="668" t="s">
        <v>340</v>
      </c>
      <c r="C35" s="1310" t="s">
        <v>343</v>
      </c>
      <c r="D35" s="1310"/>
      <c r="E35" s="654">
        <v>1</v>
      </c>
      <c r="F35" s="654">
        <v>4</v>
      </c>
      <c r="G35" s="655">
        <v>1542000</v>
      </c>
      <c r="H35" s="655">
        <v>9</v>
      </c>
      <c r="I35" s="621">
        <f t="shared" si="0"/>
        <v>13878000</v>
      </c>
      <c r="J35" s="656">
        <f>G35*1.2</f>
        <v>1850400</v>
      </c>
      <c r="K35" s="669"/>
      <c r="L35" s="656">
        <f t="shared" si="26"/>
        <v>3984110</v>
      </c>
      <c r="M35" s="669">
        <f>40000*H35</f>
        <v>360000</v>
      </c>
      <c r="N35" s="657">
        <f>SUM((J35:M35),(J36:M36))</f>
        <v>7687330</v>
      </c>
      <c r="O35" s="658">
        <f>I35+N35+I36</f>
        <v>26347330</v>
      </c>
      <c r="P35" s="658">
        <f t="shared" si="16"/>
        <v>5356930</v>
      </c>
      <c r="Q35" s="658">
        <f t="shared" si="19"/>
        <v>11160.270833333332</v>
      </c>
      <c r="R35" s="658">
        <v>27423470</v>
      </c>
      <c r="S35" s="658">
        <v>12</v>
      </c>
      <c r="T35" s="659">
        <f t="shared" si="17"/>
        <v>2285280</v>
      </c>
      <c r="U35" s="659">
        <f t="shared" si="8"/>
        <v>27423360</v>
      </c>
      <c r="V35" s="659">
        <f t="shared" si="22"/>
        <v>1234050</v>
      </c>
      <c r="W35" s="659">
        <f t="shared" si="9"/>
        <v>2195610.8333333335</v>
      </c>
      <c r="X35" s="656">
        <f t="shared" si="23"/>
        <v>799640</v>
      </c>
      <c r="Y35" s="656">
        <f t="shared" si="10"/>
        <v>52370</v>
      </c>
      <c r="Z35" s="656">
        <f t="shared" si="11"/>
        <v>1234050</v>
      </c>
      <c r="AA35" s="660">
        <f t="shared" si="11"/>
        <v>2195610.8333333335</v>
      </c>
      <c r="AB35" s="661">
        <f>INT((AA35*$AB$3)*(H35+H36)/10)*10</f>
        <v>144910</v>
      </c>
      <c r="AC35" s="662">
        <f t="shared" si="24"/>
        <v>237120</v>
      </c>
      <c r="AD35" s="659">
        <f t="shared" si="12"/>
        <v>2195610.8333333335</v>
      </c>
      <c r="AE35" s="656">
        <f t="shared" si="25"/>
        <v>184430</v>
      </c>
      <c r="AF35" s="663">
        <f t="shared" si="13"/>
        <v>2507610</v>
      </c>
      <c r="AG35" s="663">
        <f t="shared" si="14"/>
        <v>2195610</v>
      </c>
      <c r="AH35" s="1311">
        <f>O35+AF35+AG35</f>
        <v>31050550</v>
      </c>
      <c r="AI35" s="1311"/>
      <c r="AJ35" s="775">
        <f t="shared" si="15"/>
        <v>2230970</v>
      </c>
      <c r="AK35" s="674">
        <f>X35/$AK$4</f>
        <v>799640</v>
      </c>
      <c r="AL35" s="675">
        <f>Y35/$AK$4</f>
        <v>52370</v>
      </c>
      <c r="AM35" s="675">
        <v>80550</v>
      </c>
      <c r="AN35" s="675">
        <f>Z35/$AK$4</f>
        <v>1234050</v>
      </c>
      <c r="AO35" s="675">
        <f>AC35/$AK$4</f>
        <v>237120</v>
      </c>
      <c r="AP35" s="675">
        <f>AE35/$AK$4</f>
        <v>184430</v>
      </c>
      <c r="AQ35" s="635" t="s">
        <v>343</v>
      </c>
      <c r="AR35" s="676">
        <f>17445310/8</f>
        <v>2180663.75</v>
      </c>
    </row>
    <row r="36" spans="1:44" s="623" customFormat="1" ht="30" customHeight="1" thickBot="1">
      <c r="A36" s="1301"/>
      <c r="B36" s="668" t="s">
        <v>340</v>
      </c>
      <c r="C36" s="1310" t="s">
        <v>343</v>
      </c>
      <c r="D36" s="1310"/>
      <c r="E36" s="654">
        <v>10</v>
      </c>
      <c r="F36" s="654">
        <v>5</v>
      </c>
      <c r="G36" s="655">
        <v>1594000</v>
      </c>
      <c r="H36" s="655">
        <v>3</v>
      </c>
      <c r="I36" s="621">
        <f t="shared" si="0"/>
        <v>4782000</v>
      </c>
      <c r="J36" s="656"/>
      <c r="K36" s="669"/>
      <c r="L36" s="656">
        <f t="shared" si="26"/>
        <v>1372820</v>
      </c>
      <c r="M36" s="669">
        <f>40000*H36</f>
        <v>120000</v>
      </c>
      <c r="N36" s="663"/>
      <c r="O36" s="658"/>
      <c r="P36" s="658"/>
      <c r="Q36" s="658">
        <f t="shared" si="19"/>
        <v>0</v>
      </c>
      <c r="R36" s="658"/>
      <c r="S36" s="658"/>
      <c r="T36" s="659"/>
      <c r="U36" s="659">
        <f t="shared" si="8"/>
        <v>0</v>
      </c>
      <c r="V36" s="659">
        <f t="shared" si="22"/>
        <v>0</v>
      </c>
      <c r="W36" s="659">
        <f t="shared" si="9"/>
        <v>0</v>
      </c>
      <c r="X36" s="656">
        <f t="shared" si="23"/>
        <v>0</v>
      </c>
      <c r="Y36" s="656">
        <f t="shared" si="10"/>
        <v>0</v>
      </c>
      <c r="Z36" s="656">
        <f t="shared" si="11"/>
        <v>0</v>
      </c>
      <c r="AA36" s="660">
        <f t="shared" si="11"/>
        <v>0</v>
      </c>
      <c r="AB36" s="659"/>
      <c r="AC36" s="662">
        <f t="shared" si="24"/>
        <v>0</v>
      </c>
      <c r="AD36" s="659">
        <f t="shared" si="12"/>
        <v>0</v>
      </c>
      <c r="AE36" s="656">
        <f t="shared" si="25"/>
        <v>0</v>
      </c>
      <c r="AF36" s="663">
        <f t="shared" si="13"/>
        <v>0</v>
      </c>
      <c r="AG36" s="663">
        <f t="shared" si="14"/>
        <v>0</v>
      </c>
      <c r="AH36" s="666"/>
      <c r="AI36" s="666"/>
      <c r="AJ36" s="775">
        <f t="shared" si="15"/>
        <v>0</v>
      </c>
      <c r="AK36" s="671"/>
      <c r="AL36" s="672"/>
      <c r="AM36" s="672"/>
      <c r="AN36" s="672"/>
      <c r="AO36" s="672"/>
      <c r="AP36" s="672"/>
      <c r="AQ36" s="636"/>
      <c r="AR36" s="673"/>
    </row>
    <row r="37" spans="1:44" s="677" customFormat="1" ht="30" customHeight="1" thickTop="1">
      <c r="A37" s="1301">
        <v>17</v>
      </c>
      <c r="B37" s="668" t="s">
        <v>344</v>
      </c>
      <c r="C37" s="1315" t="s">
        <v>345</v>
      </c>
      <c r="D37" s="1315"/>
      <c r="E37" s="654">
        <v>1</v>
      </c>
      <c r="F37" s="654">
        <v>6</v>
      </c>
      <c r="G37" s="693">
        <v>1694000</v>
      </c>
      <c r="H37" s="655">
        <v>11</v>
      </c>
      <c r="I37" s="621">
        <f t="shared" si="0"/>
        <v>18634000</v>
      </c>
      <c r="J37" s="656">
        <f>G37*1.2</f>
        <v>2032800</v>
      </c>
      <c r="K37" s="669"/>
      <c r="L37" s="669">
        <f>ROUNDDOWN((I37*20/209*1.5),-1)</f>
        <v>2674730</v>
      </c>
      <c r="M37" s="669">
        <f>80000*H37</f>
        <v>880000</v>
      </c>
      <c r="N37" s="657">
        <f>SUM((J37:M37),(J38:M38))</f>
        <v>5918150</v>
      </c>
      <c r="O37" s="658">
        <f>I37+N37+I38</f>
        <v>26298150</v>
      </c>
      <c r="P37" s="658">
        <f t="shared" si="16"/>
        <v>2925350</v>
      </c>
      <c r="Q37" s="658">
        <f>(P37/12)/20</f>
        <v>12188.958333333332</v>
      </c>
      <c r="R37" s="658">
        <v>26930790</v>
      </c>
      <c r="S37" s="658">
        <v>12</v>
      </c>
      <c r="T37" s="659">
        <f t="shared" si="17"/>
        <v>2244230</v>
      </c>
      <c r="U37" s="659">
        <f t="shared" si="8"/>
        <v>26930760</v>
      </c>
      <c r="V37" s="659">
        <f t="shared" si="22"/>
        <v>1211880</v>
      </c>
      <c r="W37" s="659">
        <f t="shared" si="9"/>
        <v>2191512.5</v>
      </c>
      <c r="X37" s="656">
        <f t="shared" si="23"/>
        <v>798140</v>
      </c>
      <c r="Y37" s="656">
        <f t="shared" si="10"/>
        <v>52270</v>
      </c>
      <c r="Z37" s="656">
        <f t="shared" si="11"/>
        <v>1211880</v>
      </c>
      <c r="AA37" s="660">
        <f t="shared" si="11"/>
        <v>2191512.5</v>
      </c>
      <c r="AB37" s="661">
        <f>INT((AA37*$AB$3)*(H37+H38)/10)*10</f>
        <v>144630</v>
      </c>
      <c r="AC37" s="662">
        <f t="shared" si="24"/>
        <v>236680</v>
      </c>
      <c r="AD37" s="659">
        <f t="shared" si="12"/>
        <v>2191512.5</v>
      </c>
      <c r="AE37" s="656">
        <f t="shared" si="25"/>
        <v>184080</v>
      </c>
      <c r="AF37" s="663">
        <f t="shared" si="13"/>
        <v>2483050</v>
      </c>
      <c r="AG37" s="663">
        <f t="shared" si="14"/>
        <v>2191510</v>
      </c>
      <c r="AH37" s="1311">
        <f>O37+AF37+AG37</f>
        <v>30972710</v>
      </c>
      <c r="AI37" s="1311"/>
      <c r="AJ37" s="775">
        <f t="shared" si="15"/>
        <v>2206920</v>
      </c>
      <c r="AK37" s="674"/>
      <c r="AL37" s="675"/>
      <c r="AM37" s="675"/>
      <c r="AN37" s="675"/>
      <c r="AO37" s="675"/>
      <c r="AP37" s="675"/>
      <c r="AQ37" s="635"/>
      <c r="AR37" s="676"/>
    </row>
    <row r="38" spans="1:44" s="623" customFormat="1" ht="30" customHeight="1" thickBot="1">
      <c r="A38" s="1301"/>
      <c r="B38" s="668" t="s">
        <v>344</v>
      </c>
      <c r="C38" s="1315" t="s">
        <v>345</v>
      </c>
      <c r="D38" s="1315"/>
      <c r="E38" s="654">
        <v>12</v>
      </c>
      <c r="F38" s="654">
        <v>7</v>
      </c>
      <c r="G38" s="693">
        <v>1746000</v>
      </c>
      <c r="H38" s="655">
        <v>1</v>
      </c>
      <c r="I38" s="621">
        <f t="shared" si="0"/>
        <v>1746000</v>
      </c>
      <c r="J38" s="656"/>
      <c r="K38" s="669"/>
      <c r="L38" s="669">
        <f aca="true" t="shared" si="27" ref="L38:L44">ROUNDDOWN((I38*20/209*1.5),-1)</f>
        <v>250620</v>
      </c>
      <c r="M38" s="669">
        <f>80000*H38</f>
        <v>80000</v>
      </c>
      <c r="N38" s="663"/>
      <c r="O38" s="658"/>
      <c r="P38" s="658"/>
      <c r="Q38" s="658">
        <f aca="true" t="shared" si="28" ref="Q38:Q43">(P38/12)/20</f>
        <v>0</v>
      </c>
      <c r="R38" s="658"/>
      <c r="S38" s="658"/>
      <c r="T38" s="659"/>
      <c r="U38" s="659">
        <f t="shared" si="8"/>
        <v>0</v>
      </c>
      <c r="V38" s="659">
        <f t="shared" si="22"/>
        <v>0</v>
      </c>
      <c r="W38" s="659">
        <f t="shared" si="9"/>
        <v>0</v>
      </c>
      <c r="X38" s="656">
        <f t="shared" si="23"/>
        <v>0</v>
      </c>
      <c r="Y38" s="656">
        <f t="shared" si="10"/>
        <v>0</v>
      </c>
      <c r="Z38" s="656">
        <f t="shared" si="11"/>
        <v>0</v>
      </c>
      <c r="AA38" s="660">
        <f t="shared" si="11"/>
        <v>0</v>
      </c>
      <c r="AB38" s="659"/>
      <c r="AC38" s="662">
        <f t="shared" si="24"/>
        <v>0</v>
      </c>
      <c r="AD38" s="659">
        <f t="shared" si="12"/>
        <v>0</v>
      </c>
      <c r="AE38" s="656">
        <f t="shared" si="25"/>
        <v>0</v>
      </c>
      <c r="AF38" s="663">
        <f t="shared" si="13"/>
        <v>0</v>
      </c>
      <c r="AG38" s="663">
        <f t="shared" si="14"/>
        <v>0</v>
      </c>
      <c r="AH38" s="666"/>
      <c r="AI38" s="666"/>
      <c r="AJ38" s="775">
        <f t="shared" si="15"/>
        <v>0</v>
      </c>
      <c r="AK38" s="671"/>
      <c r="AL38" s="672"/>
      <c r="AM38" s="672"/>
      <c r="AN38" s="672"/>
      <c r="AO38" s="672"/>
      <c r="AP38" s="672"/>
      <c r="AQ38" s="636"/>
      <c r="AR38" s="673"/>
    </row>
    <row r="39" spans="1:44" s="677" customFormat="1" ht="30" customHeight="1" thickTop="1">
      <c r="A39" s="1301">
        <v>18</v>
      </c>
      <c r="B39" s="668" t="s">
        <v>346</v>
      </c>
      <c r="C39" s="1310" t="s">
        <v>347</v>
      </c>
      <c r="D39" s="1310"/>
      <c r="E39" s="654">
        <v>1</v>
      </c>
      <c r="F39" s="654">
        <v>4</v>
      </c>
      <c r="G39" s="693">
        <v>1734000</v>
      </c>
      <c r="H39" s="655">
        <v>11</v>
      </c>
      <c r="I39" s="621">
        <f t="shared" si="0"/>
        <v>19074000</v>
      </c>
      <c r="J39" s="656">
        <f>G39*1.2</f>
        <v>2080800</v>
      </c>
      <c r="K39" s="669"/>
      <c r="L39" s="669">
        <f t="shared" si="27"/>
        <v>2737890</v>
      </c>
      <c r="M39" s="669">
        <f>20000*H39</f>
        <v>220000</v>
      </c>
      <c r="N39" s="657">
        <f>SUM((J39:M39),(J40:M40))</f>
        <v>5314910</v>
      </c>
      <c r="O39" s="658">
        <f>I39+N39+I40</f>
        <v>26173910</v>
      </c>
      <c r="P39" s="658">
        <f t="shared" si="16"/>
        <v>2994110</v>
      </c>
      <c r="Q39" s="658">
        <f t="shared" si="28"/>
        <v>12475.458333333332</v>
      </c>
      <c r="R39" s="658">
        <v>27562630</v>
      </c>
      <c r="S39" s="658">
        <v>12</v>
      </c>
      <c r="T39" s="659">
        <f t="shared" si="17"/>
        <v>2296880</v>
      </c>
      <c r="U39" s="659">
        <f t="shared" si="8"/>
        <v>27562560</v>
      </c>
      <c r="V39" s="659">
        <f t="shared" si="22"/>
        <v>1240310</v>
      </c>
      <c r="W39" s="659">
        <f t="shared" si="9"/>
        <v>2181159.1666666665</v>
      </c>
      <c r="X39" s="656">
        <f t="shared" si="23"/>
        <v>794370</v>
      </c>
      <c r="Y39" s="656">
        <f t="shared" si="10"/>
        <v>52030</v>
      </c>
      <c r="Z39" s="656">
        <f t="shared" si="11"/>
        <v>1240310</v>
      </c>
      <c r="AA39" s="660">
        <f t="shared" si="11"/>
        <v>2181159.1666666665</v>
      </c>
      <c r="AB39" s="661">
        <f>INT((AA39*$AB$3)*(H39+H40)/10)*10</f>
        <v>143950</v>
      </c>
      <c r="AC39" s="662">
        <f t="shared" si="24"/>
        <v>235560</v>
      </c>
      <c r="AD39" s="659">
        <f t="shared" si="12"/>
        <v>2181159.1666666665</v>
      </c>
      <c r="AE39" s="656">
        <f t="shared" si="25"/>
        <v>183210</v>
      </c>
      <c r="AF39" s="663">
        <f t="shared" si="13"/>
        <v>2505480</v>
      </c>
      <c r="AG39" s="663">
        <f t="shared" si="14"/>
        <v>2181150</v>
      </c>
      <c r="AH39" s="1311">
        <f>O39+AF39+AG39</f>
        <v>30860540</v>
      </c>
      <c r="AI39" s="1311"/>
      <c r="AJ39" s="775">
        <f t="shared" si="15"/>
        <v>2230660</v>
      </c>
      <c r="AK39" s="674"/>
      <c r="AL39" s="675">
        <f>Y39/$AK$4</f>
        <v>52030</v>
      </c>
      <c r="AM39" s="675"/>
      <c r="AN39" s="675"/>
      <c r="AO39" s="675"/>
      <c r="AP39" s="675"/>
      <c r="AQ39" s="635"/>
      <c r="AR39" s="676"/>
    </row>
    <row r="40" spans="1:44" s="623" customFormat="1" ht="30" customHeight="1" thickBot="1">
      <c r="A40" s="1301"/>
      <c r="B40" s="668" t="s">
        <v>346</v>
      </c>
      <c r="C40" s="1310" t="s">
        <v>347</v>
      </c>
      <c r="D40" s="1310"/>
      <c r="E40" s="654">
        <v>12</v>
      </c>
      <c r="F40" s="654">
        <v>5</v>
      </c>
      <c r="G40" s="693">
        <v>1785000</v>
      </c>
      <c r="H40" s="655">
        <v>1</v>
      </c>
      <c r="I40" s="621">
        <f t="shared" si="0"/>
        <v>1785000</v>
      </c>
      <c r="J40" s="656"/>
      <c r="K40" s="669"/>
      <c r="L40" s="669">
        <f t="shared" si="27"/>
        <v>256220</v>
      </c>
      <c r="M40" s="669">
        <f>20000*H40</f>
        <v>20000</v>
      </c>
      <c r="N40" s="663"/>
      <c r="O40" s="658"/>
      <c r="P40" s="658"/>
      <c r="Q40" s="658">
        <f t="shared" si="28"/>
        <v>0</v>
      </c>
      <c r="R40" s="658"/>
      <c r="S40" s="658"/>
      <c r="T40" s="659"/>
      <c r="U40" s="659">
        <f t="shared" si="8"/>
        <v>0</v>
      </c>
      <c r="V40" s="659">
        <f t="shared" si="22"/>
        <v>0</v>
      </c>
      <c r="W40" s="659">
        <f t="shared" si="9"/>
        <v>0</v>
      </c>
      <c r="X40" s="656">
        <f t="shared" si="23"/>
        <v>0</v>
      </c>
      <c r="Y40" s="656">
        <f t="shared" si="10"/>
        <v>0</v>
      </c>
      <c r="Z40" s="656">
        <f t="shared" si="11"/>
        <v>0</v>
      </c>
      <c r="AA40" s="660">
        <f t="shared" si="11"/>
        <v>0</v>
      </c>
      <c r="AB40" s="659"/>
      <c r="AC40" s="662">
        <f t="shared" si="24"/>
        <v>0</v>
      </c>
      <c r="AD40" s="659">
        <f t="shared" si="12"/>
        <v>0</v>
      </c>
      <c r="AE40" s="656">
        <f t="shared" si="25"/>
        <v>0</v>
      </c>
      <c r="AF40" s="663">
        <f t="shared" si="13"/>
        <v>0</v>
      </c>
      <c r="AG40" s="663">
        <f t="shared" si="14"/>
        <v>0</v>
      </c>
      <c r="AH40" s="666"/>
      <c r="AI40" s="666"/>
      <c r="AJ40" s="775">
        <f t="shared" si="15"/>
        <v>0</v>
      </c>
      <c r="AK40" s="671"/>
      <c r="AL40" s="672"/>
      <c r="AM40" s="672"/>
      <c r="AN40" s="672"/>
      <c r="AO40" s="672"/>
      <c r="AP40" s="672"/>
      <c r="AQ40" s="636"/>
      <c r="AR40" s="673"/>
    </row>
    <row r="41" spans="1:44" s="677" customFormat="1" ht="30" customHeight="1" thickTop="1">
      <c r="A41" s="1301">
        <v>19</v>
      </c>
      <c r="B41" s="668" t="s">
        <v>348</v>
      </c>
      <c r="C41" s="1310" t="s">
        <v>349</v>
      </c>
      <c r="D41" s="1310"/>
      <c r="E41" s="654">
        <v>1</v>
      </c>
      <c r="F41" s="654">
        <v>9</v>
      </c>
      <c r="G41" s="655">
        <v>2435000</v>
      </c>
      <c r="H41" s="655">
        <v>2</v>
      </c>
      <c r="I41" s="621">
        <f t="shared" si="0"/>
        <v>4870000</v>
      </c>
      <c r="J41" s="656">
        <f t="shared" si="5"/>
        <v>1461000</v>
      </c>
      <c r="K41" s="669"/>
      <c r="L41" s="669">
        <f t="shared" si="27"/>
        <v>699040</v>
      </c>
      <c r="M41" s="669"/>
      <c r="N41" s="657">
        <f>SUM((J41:M41),(J42:M42))</f>
        <v>7307580</v>
      </c>
      <c r="O41" s="658">
        <f>I41+N41+I42</f>
        <v>37467580</v>
      </c>
      <c r="P41" s="658">
        <f t="shared" si="16"/>
        <v>4329180</v>
      </c>
      <c r="Q41" s="658">
        <f t="shared" si="28"/>
        <v>18038.25</v>
      </c>
      <c r="R41" s="658">
        <v>28462330</v>
      </c>
      <c r="S41" s="658">
        <v>12</v>
      </c>
      <c r="T41" s="659">
        <f t="shared" si="17"/>
        <v>2371860</v>
      </c>
      <c r="U41" s="659">
        <f t="shared" si="8"/>
        <v>28462320</v>
      </c>
      <c r="V41" s="659">
        <f t="shared" si="22"/>
        <v>1280800</v>
      </c>
      <c r="W41" s="659">
        <f t="shared" si="9"/>
        <v>3122298.3333333335</v>
      </c>
      <c r="X41" s="656">
        <f t="shared" si="23"/>
        <v>1137140</v>
      </c>
      <c r="Y41" s="656">
        <f t="shared" si="10"/>
        <v>74480</v>
      </c>
      <c r="Z41" s="656">
        <f t="shared" si="11"/>
        <v>1280800</v>
      </c>
      <c r="AA41" s="660">
        <f t="shared" si="11"/>
        <v>3122298.3333333335</v>
      </c>
      <c r="AB41" s="661">
        <f>INT((AA41*$AB$3)*(H41+H42)/10)*10</f>
        <v>206070</v>
      </c>
      <c r="AC41" s="662">
        <f t="shared" si="24"/>
        <v>337200</v>
      </c>
      <c r="AD41" s="659">
        <f t="shared" si="12"/>
        <v>3122298.3333333335</v>
      </c>
      <c r="AE41" s="656">
        <f t="shared" si="25"/>
        <v>262270</v>
      </c>
      <c r="AF41" s="663">
        <f t="shared" si="13"/>
        <v>3091890</v>
      </c>
      <c r="AG41" s="663">
        <f t="shared" si="14"/>
        <v>3122290</v>
      </c>
      <c r="AH41" s="1311">
        <f>O41+AF41+AG41</f>
        <v>43681760</v>
      </c>
      <c r="AI41" s="1311"/>
      <c r="AJ41" s="775">
        <f t="shared" si="15"/>
        <v>2698490</v>
      </c>
      <c r="AK41" s="674">
        <f>X41/$AK$4</f>
        <v>1137140</v>
      </c>
      <c r="AL41" s="675">
        <f>Y41/$AK$4</f>
        <v>74480</v>
      </c>
      <c r="AM41" s="675">
        <v>112500</v>
      </c>
      <c r="AN41" s="675">
        <f>Z41/$AK$4</f>
        <v>1280800</v>
      </c>
      <c r="AO41" s="675">
        <f>AC41/$AK$4</f>
        <v>337200</v>
      </c>
      <c r="AP41" s="675">
        <f>AE41/$AK$4</f>
        <v>262270</v>
      </c>
      <c r="AQ41" s="635" t="s">
        <v>350</v>
      </c>
      <c r="AR41" s="676">
        <f>24769490/12</f>
        <v>2064124.1666666667</v>
      </c>
    </row>
    <row r="42" spans="1:44" s="623" customFormat="1" ht="30" customHeight="1" thickBot="1">
      <c r="A42" s="1301"/>
      <c r="B42" s="668" t="s">
        <v>348</v>
      </c>
      <c r="C42" s="1310" t="s">
        <v>349</v>
      </c>
      <c r="D42" s="1310"/>
      <c r="E42" s="654">
        <v>2</v>
      </c>
      <c r="F42" s="654">
        <v>10</v>
      </c>
      <c r="G42" s="655">
        <v>2529000</v>
      </c>
      <c r="H42" s="655">
        <v>10</v>
      </c>
      <c r="I42" s="621">
        <f t="shared" si="0"/>
        <v>25290000</v>
      </c>
      <c r="J42" s="656">
        <f t="shared" si="5"/>
        <v>1517400</v>
      </c>
      <c r="K42" s="669"/>
      <c r="L42" s="669">
        <f t="shared" si="27"/>
        <v>3630140</v>
      </c>
      <c r="M42" s="669"/>
      <c r="N42" s="663"/>
      <c r="O42" s="658"/>
      <c r="P42" s="658"/>
      <c r="Q42" s="658">
        <f t="shared" si="28"/>
        <v>0</v>
      </c>
      <c r="R42" s="658"/>
      <c r="S42" s="658"/>
      <c r="T42" s="659"/>
      <c r="U42" s="659">
        <f t="shared" si="8"/>
        <v>0</v>
      </c>
      <c r="V42" s="659">
        <f t="shared" si="22"/>
        <v>0</v>
      </c>
      <c r="W42" s="659">
        <f t="shared" si="9"/>
        <v>0</v>
      </c>
      <c r="X42" s="656">
        <f t="shared" si="23"/>
        <v>0</v>
      </c>
      <c r="Y42" s="656">
        <f t="shared" si="10"/>
        <v>0</v>
      </c>
      <c r="Z42" s="656">
        <f t="shared" si="11"/>
        <v>0</v>
      </c>
      <c r="AA42" s="660">
        <f t="shared" si="11"/>
        <v>0</v>
      </c>
      <c r="AB42" s="659"/>
      <c r="AC42" s="662">
        <f t="shared" si="24"/>
        <v>0</v>
      </c>
      <c r="AD42" s="659">
        <f t="shared" si="12"/>
        <v>0</v>
      </c>
      <c r="AE42" s="656">
        <f t="shared" si="25"/>
        <v>0</v>
      </c>
      <c r="AF42" s="663">
        <f t="shared" si="13"/>
        <v>0</v>
      </c>
      <c r="AG42" s="663">
        <f t="shared" si="14"/>
        <v>0</v>
      </c>
      <c r="AH42" s="666"/>
      <c r="AI42" s="666"/>
      <c r="AJ42" s="775">
        <f t="shared" si="15"/>
        <v>0</v>
      </c>
      <c r="AK42" s="671"/>
      <c r="AL42" s="672"/>
      <c r="AM42" s="672"/>
      <c r="AN42" s="672"/>
      <c r="AO42" s="672"/>
      <c r="AP42" s="672"/>
      <c r="AQ42" s="636"/>
      <c r="AR42" s="673"/>
    </row>
    <row r="43" spans="1:44" s="677" customFormat="1" ht="30" customHeight="1" thickTop="1">
      <c r="A43" s="1301">
        <v>20</v>
      </c>
      <c r="B43" s="668" t="s">
        <v>351</v>
      </c>
      <c r="C43" s="1310" t="s">
        <v>352</v>
      </c>
      <c r="D43" s="1310"/>
      <c r="E43" s="654">
        <v>1</v>
      </c>
      <c r="F43" s="654">
        <v>3</v>
      </c>
      <c r="G43" s="655">
        <v>1866000</v>
      </c>
      <c r="H43" s="655">
        <v>4</v>
      </c>
      <c r="I43" s="621">
        <f t="shared" si="0"/>
        <v>7464000</v>
      </c>
      <c r="J43" s="656">
        <f t="shared" si="5"/>
        <v>1119600</v>
      </c>
      <c r="K43" s="669"/>
      <c r="L43" s="669">
        <f t="shared" si="27"/>
        <v>1071380</v>
      </c>
      <c r="M43" s="669"/>
      <c r="N43" s="657">
        <f>SUM((J43:M43),(J44:M44))</f>
        <v>5608950</v>
      </c>
      <c r="O43" s="658">
        <f>I43+N43+I44</f>
        <v>28712950</v>
      </c>
      <c r="P43" s="658">
        <f t="shared" si="16"/>
        <v>3316350</v>
      </c>
      <c r="Q43" s="658">
        <f t="shared" si="28"/>
        <v>13818.125</v>
      </c>
      <c r="R43" s="658">
        <v>29790780</v>
      </c>
      <c r="S43" s="658">
        <v>12</v>
      </c>
      <c r="T43" s="659">
        <f t="shared" si="17"/>
        <v>2482560</v>
      </c>
      <c r="U43" s="659">
        <f t="shared" si="8"/>
        <v>29790720</v>
      </c>
      <c r="V43" s="659">
        <f t="shared" si="22"/>
        <v>1340580</v>
      </c>
      <c r="W43" s="659">
        <f t="shared" si="9"/>
        <v>2392745.8333333335</v>
      </c>
      <c r="X43" s="656">
        <f t="shared" si="23"/>
        <v>871430</v>
      </c>
      <c r="Y43" s="656">
        <f t="shared" si="10"/>
        <v>57070</v>
      </c>
      <c r="Z43" s="656">
        <f t="shared" si="11"/>
        <v>1340580</v>
      </c>
      <c r="AA43" s="660">
        <f t="shared" si="11"/>
        <v>2392745.8333333335</v>
      </c>
      <c r="AB43" s="661">
        <f>INT((AA43*$AB$3)*(H43+H44)/10)*10</f>
        <v>157920</v>
      </c>
      <c r="AC43" s="662">
        <f t="shared" si="24"/>
        <v>258410</v>
      </c>
      <c r="AD43" s="659">
        <f t="shared" si="12"/>
        <v>2392745.8333333335</v>
      </c>
      <c r="AE43" s="656">
        <f t="shared" si="25"/>
        <v>200990</v>
      </c>
      <c r="AF43" s="663">
        <f t="shared" si="13"/>
        <v>2728480</v>
      </c>
      <c r="AG43" s="663">
        <f t="shared" si="14"/>
        <v>2392740</v>
      </c>
      <c r="AH43" s="1311">
        <f>O43+AF43+AG43</f>
        <v>33834170</v>
      </c>
      <c r="AI43" s="1311"/>
      <c r="AJ43" s="775">
        <f t="shared" si="15"/>
        <v>2427000</v>
      </c>
      <c r="AK43" s="674">
        <f>X43/$AK$4</f>
        <v>871430</v>
      </c>
      <c r="AL43" s="675">
        <f>Y43/$AK$4</f>
        <v>57070</v>
      </c>
      <c r="AM43" s="675">
        <v>99000</v>
      </c>
      <c r="AN43" s="675">
        <f>Z43/$AK$4</f>
        <v>1340580</v>
      </c>
      <c r="AO43" s="675">
        <f>AC43/$AK$4</f>
        <v>258410</v>
      </c>
      <c r="AP43" s="675">
        <f>AE43/$AK$4</f>
        <v>200990</v>
      </c>
      <c r="AQ43" s="635" t="s">
        <v>352</v>
      </c>
      <c r="AR43" s="676">
        <f>18945220/9</f>
        <v>2105024.4444444445</v>
      </c>
    </row>
    <row r="44" spans="1:44" s="623" customFormat="1" ht="30" customHeight="1" thickBot="1">
      <c r="A44" s="1301"/>
      <c r="B44" s="668" t="s">
        <v>351</v>
      </c>
      <c r="C44" s="1310" t="s">
        <v>352</v>
      </c>
      <c r="D44" s="1310"/>
      <c r="E44" s="654">
        <v>5</v>
      </c>
      <c r="F44" s="654">
        <v>4</v>
      </c>
      <c r="G44" s="655">
        <v>1955000</v>
      </c>
      <c r="H44" s="655">
        <v>8</v>
      </c>
      <c r="I44" s="621">
        <f t="shared" si="0"/>
        <v>15640000</v>
      </c>
      <c r="J44" s="656">
        <f t="shared" si="5"/>
        <v>1173000</v>
      </c>
      <c r="K44" s="669"/>
      <c r="L44" s="669">
        <f t="shared" si="27"/>
        <v>2244970</v>
      </c>
      <c r="M44" s="669"/>
      <c r="N44" s="663"/>
      <c r="O44" s="658"/>
      <c r="P44" s="658"/>
      <c r="Q44" s="658"/>
      <c r="R44" s="658"/>
      <c r="S44" s="658"/>
      <c r="T44" s="659"/>
      <c r="U44" s="659"/>
      <c r="V44" s="659"/>
      <c r="W44" s="659">
        <f t="shared" si="9"/>
        <v>0</v>
      </c>
      <c r="X44" s="659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66"/>
      <c r="AJ44" s="775">
        <f t="shared" si="15"/>
        <v>0</v>
      </c>
      <c r="AK44" s="671"/>
      <c r="AL44" s="672"/>
      <c r="AM44" s="672"/>
      <c r="AN44" s="672"/>
      <c r="AO44" s="672"/>
      <c r="AP44" s="672"/>
      <c r="AQ44" s="694"/>
      <c r="AR44" s="695"/>
    </row>
    <row r="45" spans="1:42" ht="48" customHeight="1" thickTop="1">
      <c r="A45" s="1212" t="s">
        <v>353</v>
      </c>
      <c r="B45" s="1212"/>
      <c r="C45" s="1212"/>
      <c r="D45" s="1212"/>
      <c r="E45" s="1212"/>
      <c r="F45" s="1212"/>
      <c r="G45" s="696">
        <f>SUM(G5:G44)</f>
        <v>82853000</v>
      </c>
      <c r="H45" s="696"/>
      <c r="I45" s="697">
        <f>SUM(I5+I6+I7+I8+I9+I10+I11+I12+I13+I14+I15+I16+I17+I18+I19+I20+I21+I22+I23+I24+I25+I26+I27+I28+I29+I30+I33+I34+I35+I36+I37+I38+I39+I40+I41+I42+I43+I44+I31+I32)</f>
        <v>496522000</v>
      </c>
      <c r="J45" s="697">
        <f aca="true" t="shared" si="29" ref="J45:AH45">SUM(J5+J6+J7+J8+J9+J10+J11+J12+J13+J14+J15+J16+J17+J18+J19+J20+J21+J22+J23+J24+J25+J26+J27+J28+J29+J30+J33+J34+J35+J36+J37+J38+J39+J40+J41+J42+J43+J44+J31+J32)</f>
        <v>49561440</v>
      </c>
      <c r="K45" s="697">
        <f t="shared" si="29"/>
        <v>3600000</v>
      </c>
      <c r="L45" s="697">
        <f t="shared" si="29"/>
        <v>113695660</v>
      </c>
      <c r="M45" s="697">
        <f t="shared" si="29"/>
        <v>6480000</v>
      </c>
      <c r="N45" s="697">
        <f t="shared" si="29"/>
        <v>173337100</v>
      </c>
      <c r="O45" s="697">
        <f t="shared" si="29"/>
        <v>669859100</v>
      </c>
      <c r="P45" s="697">
        <f t="shared" si="29"/>
        <v>113695660</v>
      </c>
      <c r="Q45" s="697">
        <f t="shared" si="29"/>
        <v>296962.43750000006</v>
      </c>
      <c r="R45" s="697">
        <f t="shared" si="29"/>
        <v>688536490</v>
      </c>
      <c r="S45" s="697">
        <f t="shared" si="29"/>
        <v>240</v>
      </c>
      <c r="T45" s="697">
        <f t="shared" si="29"/>
        <v>57377930</v>
      </c>
      <c r="U45" s="697">
        <f t="shared" si="29"/>
        <v>667453770</v>
      </c>
      <c r="V45" s="697">
        <f t="shared" si="29"/>
        <v>30984010</v>
      </c>
      <c r="W45" s="697">
        <f t="shared" si="29"/>
        <v>55821591.66666667</v>
      </c>
      <c r="X45" s="697">
        <f t="shared" si="29"/>
        <v>20330120</v>
      </c>
      <c r="Y45" s="697">
        <f t="shared" si="29"/>
        <v>1331500</v>
      </c>
      <c r="Z45" s="697">
        <f t="shared" si="29"/>
        <v>30984010</v>
      </c>
      <c r="AA45" s="697">
        <f t="shared" si="29"/>
        <v>55821591.66666667</v>
      </c>
      <c r="AB45" s="697">
        <f t="shared" si="29"/>
        <v>3684130</v>
      </c>
      <c r="AC45" s="697">
        <f t="shared" si="29"/>
        <v>6028640</v>
      </c>
      <c r="AD45" s="697">
        <f t="shared" si="29"/>
        <v>55821591.66666667</v>
      </c>
      <c r="AE45" s="697">
        <f t="shared" si="29"/>
        <v>4688930</v>
      </c>
      <c r="AF45" s="697">
        <f t="shared" si="29"/>
        <v>63363200</v>
      </c>
      <c r="AG45" s="697">
        <f t="shared" si="29"/>
        <v>55821520</v>
      </c>
      <c r="AH45" s="697">
        <f t="shared" si="29"/>
        <v>789043820</v>
      </c>
      <c r="AI45" s="697" t="e">
        <f>SUM(AI5+AI6+AI7+AI8+AI9+AI10+AI11+AI12+AI13+AI14+AI15+AI16+AI17+AI18+AI19+AI20+AI21+AI22+AI23+AI24+AI25+AI26+AI27+AI28+AI29+AI30+AI33+AI34+AI35+AI36+AI37+AI38+AI39+AI40+AI41+AI42+AI43+AI44+#REF!+#REF!)</f>
        <v>#REF!</v>
      </c>
      <c r="AJ45" s="776"/>
      <c r="AK45" s="698">
        <f>SUM(AK5:AK43)</f>
        <v>16599380</v>
      </c>
      <c r="AL45" s="699">
        <f>SUM(AL5:AL43)</f>
        <v>1139180</v>
      </c>
      <c r="AM45" s="699">
        <f>SUM(AM3:AM43)</f>
        <v>1593761</v>
      </c>
      <c r="AN45" s="699">
        <f>SUM(AN5:AN43)</f>
        <v>25200450</v>
      </c>
      <c r="AO45" s="699">
        <f>SUM(AO5:AO43)</f>
        <v>4922330</v>
      </c>
      <c r="AP45" s="699">
        <f>SUM(AP5:AP43)</f>
        <v>3828480</v>
      </c>
    </row>
    <row r="46" spans="1:36" ht="24" customHeight="1" hidden="1">
      <c r="A46" s="700">
        <v>3</v>
      </c>
      <c r="B46" s="701" t="s">
        <v>354</v>
      </c>
      <c r="C46" s="701"/>
      <c r="D46" s="702" t="s">
        <v>328</v>
      </c>
      <c r="E46" s="702"/>
      <c r="F46" s="702">
        <v>6</v>
      </c>
      <c r="G46" s="1312">
        <f aca="true" t="shared" si="30" ref="G46:G59">80000*3</f>
        <v>240000</v>
      </c>
      <c r="H46" s="1312"/>
      <c r="I46" s="703">
        <f>40000*H4</f>
        <v>0</v>
      </c>
      <c r="J46" s="1313">
        <f aca="true" t="shared" si="31" ref="J46:J60">G46+I46</f>
        <v>240000</v>
      </c>
      <c r="K46" s="1314"/>
      <c r="Y46" s="10"/>
      <c r="Z46" s="10"/>
      <c r="AA46" s="10"/>
      <c r="AB46" s="10"/>
      <c r="AC46" s="13"/>
      <c r="AD46" s="13"/>
      <c r="AE46" s="11"/>
      <c r="AF46" s="11"/>
      <c r="AG46" s="11"/>
      <c r="AH46" s="12"/>
      <c r="AI46" s="12"/>
      <c r="AJ46" s="12"/>
    </row>
    <row r="47" spans="1:36" ht="24" customHeight="1" hidden="1">
      <c r="A47" s="704">
        <v>4</v>
      </c>
      <c r="B47" s="654" t="s">
        <v>329</v>
      </c>
      <c r="C47" s="654"/>
      <c r="D47" s="654" t="s">
        <v>330</v>
      </c>
      <c r="E47" s="654"/>
      <c r="F47" s="654">
        <v>2</v>
      </c>
      <c r="G47" s="1307">
        <f t="shared" si="30"/>
        <v>240000</v>
      </c>
      <c r="H47" s="1307"/>
      <c r="I47" s="16">
        <f>40000*H5</f>
        <v>80000</v>
      </c>
      <c r="J47" s="1308">
        <f t="shared" si="31"/>
        <v>320000</v>
      </c>
      <c r="K47" s="1309"/>
      <c r="Y47" s="11"/>
      <c r="Z47" s="11"/>
      <c r="AA47" s="11"/>
      <c r="AB47" s="11"/>
      <c r="AC47" s="13"/>
      <c r="AD47" s="13"/>
      <c r="AE47" s="11"/>
      <c r="AF47" s="11"/>
      <c r="AG47" s="11"/>
      <c r="AH47" s="12"/>
      <c r="AI47" s="12"/>
      <c r="AJ47" s="12"/>
    </row>
    <row r="48" spans="1:36" ht="24" customHeight="1" hidden="1">
      <c r="A48" s="704">
        <v>5</v>
      </c>
      <c r="B48" s="654" t="s">
        <v>329</v>
      </c>
      <c r="C48" s="654"/>
      <c r="D48" s="654" t="s">
        <v>331</v>
      </c>
      <c r="E48" s="654"/>
      <c r="F48" s="654">
        <v>9</v>
      </c>
      <c r="G48" s="1307">
        <f t="shared" si="30"/>
        <v>240000</v>
      </c>
      <c r="H48" s="1307"/>
      <c r="I48" s="16">
        <f>40000*H7</f>
        <v>120000</v>
      </c>
      <c r="J48" s="1308">
        <f t="shared" si="31"/>
        <v>360000</v>
      </c>
      <c r="K48" s="1309"/>
      <c r="Y48" s="11"/>
      <c r="Z48" s="11"/>
      <c r="AA48" s="11"/>
      <c r="AB48" s="11"/>
      <c r="AC48" s="13"/>
      <c r="AD48" s="13"/>
      <c r="AE48" s="11"/>
      <c r="AF48" s="11"/>
      <c r="AG48" s="11"/>
      <c r="AH48" s="12"/>
      <c r="AI48" s="12"/>
      <c r="AJ48" s="12"/>
    </row>
    <row r="49" spans="1:36" ht="14.25">
      <c r="A49" s="704">
        <v>6</v>
      </c>
      <c r="B49" s="654" t="s">
        <v>329</v>
      </c>
      <c r="C49" s="654"/>
      <c r="D49" s="654" t="s">
        <v>332</v>
      </c>
      <c r="E49" s="654"/>
      <c r="F49" s="654">
        <v>2</v>
      </c>
      <c r="G49" s="1307">
        <f t="shared" si="30"/>
        <v>240000</v>
      </c>
      <c r="H49" s="1307"/>
      <c r="I49" s="16" t="e">
        <f>40000*#REF!</f>
        <v>#REF!</v>
      </c>
      <c r="J49" s="1308" t="e">
        <f t="shared" si="31"/>
        <v>#REF!</v>
      </c>
      <c r="K49" s="1309"/>
      <c r="Y49" s="11"/>
      <c r="Z49" s="11"/>
      <c r="AA49" s="11"/>
      <c r="AB49" s="11"/>
      <c r="AC49" s="13"/>
      <c r="AD49" s="13"/>
      <c r="AE49" s="11"/>
      <c r="AF49" s="11"/>
      <c r="AG49" s="11"/>
      <c r="AH49" s="12"/>
      <c r="AI49" s="12"/>
      <c r="AJ49" s="12"/>
    </row>
    <row r="50" spans="1:36" ht="14.25">
      <c r="A50" s="704">
        <v>7</v>
      </c>
      <c r="B50" s="654" t="s">
        <v>329</v>
      </c>
      <c r="C50" s="705"/>
      <c r="D50" s="705" t="s">
        <v>355</v>
      </c>
      <c r="E50" s="705"/>
      <c r="F50" s="654">
        <v>1</v>
      </c>
      <c r="G50" s="1307">
        <f t="shared" si="30"/>
        <v>240000</v>
      </c>
      <c r="H50" s="1307"/>
      <c r="I50" s="16">
        <f>40000*H11</f>
        <v>240000</v>
      </c>
      <c r="J50" s="1308">
        <f t="shared" si="31"/>
        <v>480000</v>
      </c>
      <c r="K50" s="1309"/>
      <c r="Y50" s="41"/>
      <c r="Z50" s="41"/>
      <c r="AA50" s="41"/>
      <c r="AB50" s="41"/>
      <c r="AC50" s="634"/>
      <c r="AD50" s="634"/>
      <c r="AE50" s="634"/>
      <c r="AF50" s="634"/>
      <c r="AG50" s="634"/>
      <c r="AH50" s="634"/>
      <c r="AI50" s="634"/>
      <c r="AJ50" s="634"/>
    </row>
    <row r="51" spans="1:36" ht="14.25">
      <c r="A51" s="704">
        <v>8</v>
      </c>
      <c r="B51" s="637" t="s">
        <v>329</v>
      </c>
      <c r="C51" s="637"/>
      <c r="D51" s="706"/>
      <c r="E51" s="707"/>
      <c r="F51" s="638"/>
      <c r="G51" s="1307">
        <f t="shared" si="30"/>
        <v>240000</v>
      </c>
      <c r="H51" s="1307"/>
      <c r="I51" s="16" t="e">
        <f>40000*#REF!</f>
        <v>#REF!</v>
      </c>
      <c r="J51" s="1308" t="e">
        <f t="shared" si="31"/>
        <v>#REF!</v>
      </c>
      <c r="K51" s="1309"/>
      <c r="Y51" s="41"/>
      <c r="Z51" s="41"/>
      <c r="AA51" s="41"/>
      <c r="AB51" s="41"/>
      <c r="AC51" s="634"/>
      <c r="AD51" s="634"/>
      <c r="AE51" s="634"/>
      <c r="AF51" s="634"/>
      <c r="AG51" s="634"/>
      <c r="AH51" s="634"/>
      <c r="AI51" s="634"/>
      <c r="AJ51" s="634"/>
    </row>
    <row r="52" spans="1:36" ht="14.25">
      <c r="A52" s="704">
        <v>8</v>
      </c>
      <c r="B52" s="637" t="s">
        <v>329</v>
      </c>
      <c r="C52" s="637"/>
      <c r="D52" s="706"/>
      <c r="E52" s="707"/>
      <c r="F52" s="638"/>
      <c r="G52" s="1307">
        <f t="shared" si="30"/>
        <v>240000</v>
      </c>
      <c r="H52" s="1307"/>
      <c r="I52" s="16" t="e">
        <f>40000*#REF!</f>
        <v>#REF!</v>
      </c>
      <c r="J52" s="1308" t="e">
        <f t="shared" si="31"/>
        <v>#REF!</v>
      </c>
      <c r="K52" s="1309"/>
      <c r="Y52" s="41"/>
      <c r="Z52" s="41"/>
      <c r="AA52" s="41"/>
      <c r="AB52" s="41"/>
      <c r="AC52" s="634"/>
      <c r="AD52" s="634"/>
      <c r="AE52" s="634"/>
      <c r="AF52" s="634"/>
      <c r="AG52" s="634"/>
      <c r="AH52" s="634"/>
      <c r="AI52" s="634"/>
      <c r="AJ52" s="634"/>
    </row>
    <row r="53" spans="1:36" ht="14.25">
      <c r="A53" s="704">
        <v>8</v>
      </c>
      <c r="B53" s="637" t="s">
        <v>329</v>
      </c>
      <c r="C53" s="637"/>
      <c r="D53" s="706"/>
      <c r="E53" s="707"/>
      <c r="F53" s="638"/>
      <c r="G53" s="1307">
        <f>80000*2</f>
        <v>160000</v>
      </c>
      <c r="H53" s="1307"/>
      <c r="I53" s="16" t="e">
        <f>40000*#REF!</f>
        <v>#REF!</v>
      </c>
      <c r="J53" s="1308" t="e">
        <f t="shared" si="31"/>
        <v>#REF!</v>
      </c>
      <c r="K53" s="1309"/>
      <c r="Y53" s="634"/>
      <c r="Z53" s="634"/>
      <c r="AA53" s="634"/>
      <c r="AB53" s="634"/>
      <c r="AC53" s="634"/>
      <c r="AD53" s="634"/>
      <c r="AE53" s="634"/>
      <c r="AF53" s="634"/>
      <c r="AG53" s="634"/>
      <c r="AH53" s="634"/>
      <c r="AI53" s="634"/>
      <c r="AJ53" s="634"/>
    </row>
    <row r="54" spans="1:36" ht="14.25">
      <c r="A54" s="704">
        <v>8</v>
      </c>
      <c r="B54" s="637" t="s">
        <v>329</v>
      </c>
      <c r="C54" s="637"/>
      <c r="D54" s="706"/>
      <c r="E54" s="707"/>
      <c r="F54" s="638"/>
      <c r="G54" s="1307">
        <f>80000*2</f>
        <v>160000</v>
      </c>
      <c r="H54" s="1307"/>
      <c r="I54" s="16" t="e">
        <f>40000*#REF!</f>
        <v>#REF!</v>
      </c>
      <c r="J54" s="1308" t="e">
        <f t="shared" si="31"/>
        <v>#REF!</v>
      </c>
      <c r="K54" s="1309"/>
      <c r="Y54" s="634"/>
      <c r="Z54" s="634"/>
      <c r="AA54" s="634"/>
      <c r="AB54" s="634"/>
      <c r="AC54" s="634"/>
      <c r="AD54" s="634"/>
      <c r="AE54" s="634"/>
      <c r="AF54" s="634"/>
      <c r="AG54" s="634"/>
      <c r="AH54" s="634"/>
      <c r="AI54" s="634"/>
      <c r="AJ54" s="634"/>
    </row>
    <row r="55" spans="1:36" ht="14.25">
      <c r="A55" s="704">
        <v>9</v>
      </c>
      <c r="B55" s="637" t="s">
        <v>329</v>
      </c>
      <c r="C55" s="637"/>
      <c r="D55" s="706"/>
      <c r="E55" s="707"/>
      <c r="F55" s="638"/>
      <c r="G55" s="1307">
        <f>80000*1</f>
        <v>80000</v>
      </c>
      <c r="H55" s="1307"/>
      <c r="I55" s="16" t="e">
        <f>40000*#REF!</f>
        <v>#REF!</v>
      </c>
      <c r="J55" s="1308" t="e">
        <f t="shared" si="31"/>
        <v>#REF!</v>
      </c>
      <c r="K55" s="1309"/>
      <c r="Y55" s="634"/>
      <c r="Z55" s="634"/>
      <c r="AA55" s="634"/>
      <c r="AB55" s="634"/>
      <c r="AC55" s="634"/>
      <c r="AD55" s="634"/>
      <c r="AE55" s="634"/>
      <c r="AF55" s="634"/>
      <c r="AG55" s="634"/>
      <c r="AH55" s="634"/>
      <c r="AI55" s="634"/>
      <c r="AJ55" s="634"/>
    </row>
    <row r="56" spans="1:36" ht="14.25">
      <c r="A56" s="704">
        <v>8</v>
      </c>
      <c r="B56" s="654" t="s">
        <v>340</v>
      </c>
      <c r="C56" s="708"/>
      <c r="D56" s="708" t="s">
        <v>342</v>
      </c>
      <c r="E56" s="708"/>
      <c r="F56" s="654">
        <v>1</v>
      </c>
      <c r="G56" s="1294">
        <f t="shared" si="30"/>
        <v>240000</v>
      </c>
      <c r="H56" s="1295"/>
      <c r="I56" s="655"/>
      <c r="J56" s="1296">
        <f t="shared" si="31"/>
        <v>240000</v>
      </c>
      <c r="K56" s="1297"/>
      <c r="Y56" s="634"/>
      <c r="Z56" s="634"/>
      <c r="AA56" s="634"/>
      <c r="AB56" s="634"/>
      <c r="AC56" s="634"/>
      <c r="AD56" s="634"/>
      <c r="AE56" s="634"/>
      <c r="AF56" s="634"/>
      <c r="AG56" s="634"/>
      <c r="AH56" s="634"/>
      <c r="AI56" s="634"/>
      <c r="AJ56" s="634"/>
    </row>
    <row r="57" spans="1:36" ht="15" thickBot="1">
      <c r="A57" s="704">
        <v>9</v>
      </c>
      <c r="B57" s="654" t="s">
        <v>344</v>
      </c>
      <c r="C57" s="654"/>
      <c r="D57" s="654" t="s">
        <v>345</v>
      </c>
      <c r="E57" s="654"/>
      <c r="F57" s="654">
        <v>3</v>
      </c>
      <c r="G57" s="709">
        <f t="shared" si="30"/>
        <v>240000</v>
      </c>
      <c r="H57" s="32"/>
      <c r="I57" s="655"/>
      <c r="J57" s="710">
        <f t="shared" si="31"/>
        <v>240000</v>
      </c>
      <c r="K57" s="711"/>
      <c r="Y57" s="712"/>
      <c r="Z57" s="634"/>
      <c r="AA57" s="634"/>
      <c r="AB57" s="634"/>
      <c r="AC57" s="634"/>
      <c r="AD57" s="634"/>
      <c r="AE57" s="634"/>
      <c r="AF57" s="634"/>
      <c r="AG57" s="634"/>
      <c r="AH57" s="634"/>
      <c r="AI57" s="634"/>
      <c r="AJ57" s="634"/>
    </row>
    <row r="58" spans="1:11" ht="14.25">
      <c r="A58" s="704">
        <v>10</v>
      </c>
      <c r="B58" s="654" t="s">
        <v>356</v>
      </c>
      <c r="C58" s="654"/>
      <c r="D58" s="654" t="s">
        <v>357</v>
      </c>
      <c r="E58" s="654"/>
      <c r="F58" s="654">
        <v>1</v>
      </c>
      <c r="G58" s="16">
        <f t="shared" si="30"/>
        <v>240000</v>
      </c>
      <c r="H58" s="16"/>
      <c r="I58" s="655">
        <f>40000*H35</f>
        <v>360000</v>
      </c>
      <c r="J58" s="713">
        <f t="shared" si="31"/>
        <v>600000</v>
      </c>
      <c r="K58" s="714"/>
    </row>
    <row r="59" spans="1:11" ht="14.25">
      <c r="A59" s="704">
        <v>11</v>
      </c>
      <c r="B59" s="654" t="s">
        <v>358</v>
      </c>
      <c r="C59" s="654"/>
      <c r="D59" s="654" t="s">
        <v>359</v>
      </c>
      <c r="E59" s="654"/>
      <c r="F59" s="654">
        <v>3</v>
      </c>
      <c r="G59" s="16">
        <f t="shared" si="30"/>
        <v>240000</v>
      </c>
      <c r="H59" s="16"/>
      <c r="I59" s="655" t="e">
        <f>40000*#REF!</f>
        <v>#REF!</v>
      </c>
      <c r="J59" s="713" t="e">
        <f t="shared" si="31"/>
        <v>#REF!</v>
      </c>
      <c r="K59" s="714"/>
    </row>
    <row r="60" spans="1:11" ht="15" thickBot="1">
      <c r="A60" s="639" t="s">
        <v>353</v>
      </c>
      <c r="B60" s="640"/>
      <c r="C60" s="640"/>
      <c r="D60" s="37"/>
      <c r="E60" s="37"/>
      <c r="F60" s="37"/>
      <c r="G60" s="715">
        <f>SUM(G43:G59)</f>
        <v>89714000</v>
      </c>
      <c r="H60" s="715"/>
      <c r="I60" s="40" t="e">
        <f>SUM(I43:I59)</f>
        <v>#REF!</v>
      </c>
      <c r="J60" s="716" t="e">
        <f t="shared" si="31"/>
        <v>#REF!</v>
      </c>
      <c r="K60" s="717"/>
    </row>
    <row r="61" spans="1:34" ht="14.25">
      <c r="A61" s="718"/>
      <c r="B61" s="718"/>
      <c r="C61" s="718"/>
      <c r="D61" s="719"/>
      <c r="E61" s="719"/>
      <c r="F61" s="719"/>
      <c r="G61" s="720"/>
      <c r="H61" s="720"/>
      <c r="I61" s="721"/>
      <c r="J61" s="722"/>
      <c r="K61" s="722"/>
      <c r="L61" s="723"/>
      <c r="M61" s="723"/>
      <c r="N61" s="723"/>
      <c r="O61" s="723"/>
      <c r="P61" s="723"/>
      <c r="Q61" s="723"/>
      <c r="R61" s="723"/>
      <c r="S61" s="723"/>
      <c r="T61" s="723"/>
      <c r="U61" s="723"/>
      <c r="V61" s="723"/>
      <c r="W61" s="723"/>
      <c r="X61" s="723"/>
      <c r="Y61" s="723"/>
      <c r="Z61" s="723"/>
      <c r="AA61" s="723"/>
      <c r="AB61" s="723"/>
      <c r="AC61" s="723"/>
      <c r="AD61" s="723"/>
      <c r="AE61" s="723"/>
      <c r="AF61" s="723"/>
      <c r="AG61" s="723"/>
      <c r="AH61" s="723"/>
    </row>
    <row r="62" spans="1:34" ht="14.25">
      <c r="A62" t="s">
        <v>360</v>
      </c>
      <c r="B62" t="s">
        <v>361</v>
      </c>
      <c r="D62" t="s">
        <v>362</v>
      </c>
      <c r="F62" t="s">
        <v>363</v>
      </c>
      <c r="G62" s="723"/>
      <c r="H62" s="723"/>
      <c r="I62" s="723"/>
      <c r="J62" s="723"/>
      <c r="K62" s="723"/>
      <c r="L62" s="723"/>
      <c r="M62" s="723"/>
      <c r="N62" s="723"/>
      <c r="O62" s="723"/>
      <c r="P62" s="723"/>
      <c r="Q62" s="723"/>
      <c r="R62" s="723"/>
      <c r="S62" s="723"/>
      <c r="T62" s="723"/>
      <c r="U62" s="723"/>
      <c r="V62" s="723"/>
      <c r="W62" s="723"/>
      <c r="X62" s="723"/>
      <c r="Y62" s="723"/>
      <c r="Z62" s="723"/>
      <c r="AA62" s="723"/>
      <c r="AB62" s="723"/>
      <c r="AC62" s="723"/>
      <c r="AD62" s="723"/>
      <c r="AE62" s="723"/>
      <c r="AF62" s="723"/>
      <c r="AG62" s="723"/>
      <c r="AH62" s="723"/>
    </row>
    <row r="63" spans="7:34" ht="14.25">
      <c r="G63" s="723"/>
      <c r="H63" s="723"/>
      <c r="I63" s="723"/>
      <c r="J63" s="723"/>
      <c r="K63" s="723"/>
      <c r="L63" s="723"/>
      <c r="M63" s="723"/>
      <c r="N63" s="723"/>
      <c r="O63" s="723"/>
      <c r="P63" s="723"/>
      <c r="Q63" s="723"/>
      <c r="R63" s="723"/>
      <c r="S63" s="723"/>
      <c r="T63" s="723"/>
      <c r="U63" s="723"/>
      <c r="V63" s="723"/>
      <c r="W63" s="723"/>
      <c r="X63" s="723"/>
      <c r="Y63" s="723"/>
      <c r="Z63" s="723"/>
      <c r="AA63" s="723"/>
      <c r="AB63" s="723"/>
      <c r="AC63" s="723"/>
      <c r="AD63" s="723"/>
      <c r="AE63" s="723"/>
      <c r="AF63" s="723"/>
      <c r="AG63" s="723"/>
      <c r="AH63" s="723"/>
    </row>
    <row r="64" spans="7:34" ht="14.25">
      <c r="G64" s="723"/>
      <c r="H64" s="723"/>
      <c r="I64" s="723"/>
      <c r="J64" s="723"/>
      <c r="K64" s="723"/>
      <c r="L64" s="723"/>
      <c r="M64" s="723"/>
      <c r="N64" s="723"/>
      <c r="O64" s="723"/>
      <c r="P64" s="723"/>
      <c r="Q64" s="723"/>
      <c r="R64" s="723"/>
      <c r="S64" s="723"/>
      <c r="T64" s="723"/>
      <c r="U64" s="723"/>
      <c r="V64" s="723"/>
      <c r="W64" s="723"/>
      <c r="X64" s="723"/>
      <c r="Y64" s="723"/>
      <c r="Z64" s="723"/>
      <c r="AA64" s="723"/>
      <c r="AB64" s="723"/>
      <c r="AC64" s="723"/>
      <c r="AD64" s="723"/>
      <c r="AE64" s="723"/>
      <c r="AF64" s="723"/>
      <c r="AG64" s="723"/>
      <c r="AH64" s="723"/>
    </row>
    <row r="65" spans="1:34" ht="14.25">
      <c r="A65" s="653">
        <v>1</v>
      </c>
      <c r="B65" s="653" t="s">
        <v>364</v>
      </c>
      <c r="C65" s="653"/>
      <c r="D65" s="653" t="s">
        <v>365</v>
      </c>
      <c r="E65" s="653"/>
      <c r="F65" s="653">
        <v>9</v>
      </c>
      <c r="G65" s="724"/>
      <c r="H65" s="724"/>
      <c r="I65" s="724"/>
      <c r="J65" s="724"/>
      <c r="K65" s="724"/>
      <c r="L65" s="724"/>
      <c r="M65" s="724"/>
      <c r="N65" s="724"/>
      <c r="O65" s="724"/>
      <c r="P65" s="724"/>
      <c r="Q65" s="724"/>
      <c r="R65" s="724"/>
      <c r="S65" s="724"/>
      <c r="T65" s="724"/>
      <c r="U65" s="724"/>
      <c r="V65" s="724"/>
      <c r="W65" s="724"/>
      <c r="X65" s="724"/>
      <c r="Y65" s="724"/>
      <c r="Z65" s="724"/>
      <c r="AA65" s="724"/>
      <c r="AB65" s="724"/>
      <c r="AC65" s="724"/>
      <c r="AD65" s="724"/>
      <c r="AE65" s="724"/>
      <c r="AF65" s="724"/>
      <c r="AG65" s="724"/>
      <c r="AH65" s="724"/>
    </row>
    <row r="66" spans="1:34" ht="14.25">
      <c r="A66" s="653">
        <v>2</v>
      </c>
      <c r="B66" s="653" t="s">
        <v>366</v>
      </c>
      <c r="C66" s="653"/>
      <c r="D66" s="653" t="s">
        <v>367</v>
      </c>
      <c r="E66" s="653"/>
      <c r="F66" s="653">
        <v>14</v>
      </c>
      <c r="G66" s="725"/>
      <c r="H66" s="725"/>
      <c r="I66" s="725"/>
      <c r="J66" s="725"/>
      <c r="K66" s="725"/>
      <c r="L66" s="725"/>
      <c r="M66" s="725"/>
      <c r="N66" s="725"/>
      <c r="O66" s="725"/>
      <c r="P66" s="725"/>
      <c r="Q66" s="725"/>
      <c r="R66" s="725"/>
      <c r="S66" s="725"/>
      <c r="T66" s="725"/>
      <c r="U66" s="725"/>
      <c r="V66" s="725"/>
      <c r="W66" s="725"/>
      <c r="X66" s="725"/>
      <c r="Y66" s="725"/>
      <c r="Z66" s="725"/>
      <c r="AA66" s="725"/>
      <c r="AB66" s="725"/>
      <c r="AC66" s="725"/>
      <c r="AD66" s="725"/>
      <c r="AE66" s="725"/>
      <c r="AF66" s="725"/>
      <c r="AG66" s="725"/>
      <c r="AH66" s="725"/>
    </row>
    <row r="67" spans="1:34" ht="14.25">
      <c r="A67" s="653">
        <v>3</v>
      </c>
      <c r="B67" s="653" t="s">
        <v>368</v>
      </c>
      <c r="C67" s="653"/>
      <c r="D67" s="653" t="s">
        <v>369</v>
      </c>
      <c r="E67" s="653"/>
      <c r="F67" s="653">
        <v>7</v>
      </c>
      <c r="G67" s="725"/>
      <c r="H67" s="725"/>
      <c r="I67" s="725"/>
      <c r="J67" s="725"/>
      <c r="K67" s="725"/>
      <c r="L67" s="725"/>
      <c r="M67" s="725"/>
      <c r="N67" s="725"/>
      <c r="O67" s="725"/>
      <c r="P67" s="725"/>
      <c r="Q67" s="725"/>
      <c r="R67" s="725"/>
      <c r="S67" s="725"/>
      <c r="T67" s="725"/>
      <c r="U67" s="725"/>
      <c r="V67" s="725"/>
      <c r="W67" s="725"/>
      <c r="X67" s="725"/>
      <c r="Y67" s="725"/>
      <c r="Z67" s="725"/>
      <c r="AA67" s="725"/>
      <c r="AB67" s="725"/>
      <c r="AC67" s="725"/>
      <c r="AD67" s="725"/>
      <c r="AE67" s="725"/>
      <c r="AF67" s="725"/>
      <c r="AG67" s="725"/>
      <c r="AH67" s="725"/>
    </row>
    <row r="68" spans="1:34" ht="14.25">
      <c r="A68" s="653">
        <v>4</v>
      </c>
      <c r="B68" s="653" t="s">
        <v>370</v>
      </c>
      <c r="C68" s="653"/>
      <c r="D68" s="653" t="s">
        <v>371</v>
      </c>
      <c r="E68" s="653"/>
      <c r="F68" s="653">
        <v>3</v>
      </c>
      <c r="G68" s="725"/>
      <c r="H68" s="725"/>
      <c r="I68" s="725"/>
      <c r="J68" s="725"/>
      <c r="K68" s="725"/>
      <c r="L68" s="725"/>
      <c r="M68" s="725"/>
      <c r="N68" s="725"/>
      <c r="O68" s="725"/>
      <c r="P68" s="725"/>
      <c r="Q68" s="725"/>
      <c r="R68" s="725"/>
      <c r="S68" s="725"/>
      <c r="T68" s="725"/>
      <c r="U68" s="725"/>
      <c r="V68" s="725"/>
      <c r="W68" s="725"/>
      <c r="X68" s="725"/>
      <c r="Y68" s="725"/>
      <c r="Z68" s="725"/>
      <c r="AA68" s="725"/>
      <c r="AB68" s="725"/>
      <c r="AC68" s="725"/>
      <c r="AD68" s="725"/>
      <c r="AE68" s="725"/>
      <c r="AF68" s="725"/>
      <c r="AG68" s="725"/>
      <c r="AH68" s="725"/>
    </row>
    <row r="69" spans="1:34" ht="14.25">
      <c r="A69" s="653">
        <v>5</v>
      </c>
      <c r="B69" s="653" t="s">
        <v>370</v>
      </c>
      <c r="C69" s="653"/>
      <c r="D69" s="653" t="s">
        <v>372</v>
      </c>
      <c r="E69" s="653"/>
      <c r="F69" s="653">
        <v>10</v>
      </c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5"/>
      <c r="S69" s="725"/>
      <c r="T69" s="725"/>
      <c r="U69" s="725"/>
      <c r="V69" s="725"/>
      <c r="W69" s="725"/>
      <c r="X69" s="725"/>
      <c r="Y69" s="725"/>
      <c r="Z69" s="725"/>
      <c r="AA69" s="725"/>
      <c r="AB69" s="725"/>
      <c r="AC69" s="725"/>
      <c r="AD69" s="725"/>
      <c r="AE69" s="725"/>
      <c r="AF69" s="725"/>
      <c r="AG69" s="725"/>
      <c r="AH69" s="725"/>
    </row>
    <row r="70" spans="1:34" ht="14.25">
      <c r="A70" s="653">
        <v>6</v>
      </c>
      <c r="B70" s="653" t="s">
        <v>370</v>
      </c>
      <c r="C70" s="653"/>
      <c r="D70" s="653" t="s">
        <v>373</v>
      </c>
      <c r="E70" s="653"/>
      <c r="F70" s="653">
        <v>3</v>
      </c>
      <c r="G70" s="725"/>
      <c r="H70" s="725"/>
      <c r="I70" s="725"/>
      <c r="J70" s="725"/>
      <c r="K70" s="725"/>
      <c r="L70" s="725"/>
      <c r="M70" s="725"/>
      <c r="N70" s="725"/>
      <c r="O70" s="725"/>
      <c r="P70" s="725"/>
      <c r="Q70" s="725"/>
      <c r="R70" s="725"/>
      <c r="S70" s="725"/>
      <c r="T70" s="725"/>
      <c r="U70" s="725"/>
      <c r="V70" s="725"/>
      <c r="W70" s="725"/>
      <c r="X70" s="725"/>
      <c r="Y70" s="725"/>
      <c r="Z70" s="725"/>
      <c r="AA70" s="725"/>
      <c r="AB70" s="725"/>
      <c r="AC70" s="725"/>
      <c r="AD70" s="725"/>
      <c r="AE70" s="725"/>
      <c r="AF70" s="725"/>
      <c r="AG70" s="725"/>
      <c r="AH70" s="725"/>
    </row>
    <row r="71" spans="1:34" ht="14.25">
      <c r="A71" s="653">
        <v>7</v>
      </c>
      <c r="B71" s="653" t="s">
        <v>370</v>
      </c>
      <c r="C71" s="653"/>
      <c r="D71" s="653" t="s">
        <v>374</v>
      </c>
      <c r="E71" s="653"/>
      <c r="F71" s="653">
        <v>3</v>
      </c>
      <c r="G71" s="725"/>
      <c r="H71" s="725"/>
      <c r="I71" s="725"/>
      <c r="J71" s="725"/>
      <c r="K71" s="725"/>
      <c r="L71" s="725"/>
      <c r="M71" s="725"/>
      <c r="N71" s="725"/>
      <c r="O71" s="725"/>
      <c r="P71" s="725"/>
      <c r="Q71" s="725"/>
      <c r="R71" s="725"/>
      <c r="S71" s="725"/>
      <c r="T71" s="725"/>
      <c r="U71" s="725"/>
      <c r="V71" s="725"/>
      <c r="W71" s="725"/>
      <c r="X71" s="725"/>
      <c r="Y71" s="725"/>
      <c r="Z71" s="725"/>
      <c r="AA71" s="725"/>
      <c r="AB71" s="725"/>
      <c r="AC71" s="725"/>
      <c r="AD71" s="725"/>
      <c r="AE71" s="725"/>
      <c r="AF71" s="725"/>
      <c r="AG71" s="725"/>
      <c r="AH71" s="725"/>
    </row>
    <row r="72" spans="1:34" ht="14.25">
      <c r="A72" s="653">
        <v>8</v>
      </c>
      <c r="B72" s="653" t="s">
        <v>370</v>
      </c>
      <c r="C72" s="653"/>
      <c r="D72" s="653" t="s">
        <v>375</v>
      </c>
      <c r="E72" s="653"/>
      <c r="F72" s="653">
        <v>3</v>
      </c>
      <c r="G72" s="725"/>
      <c r="H72" s="725"/>
      <c r="I72" s="725"/>
      <c r="J72" s="725"/>
      <c r="K72" s="725"/>
      <c r="L72" s="725"/>
      <c r="M72" s="725"/>
      <c r="N72" s="725"/>
      <c r="O72" s="725"/>
      <c r="P72" s="725"/>
      <c r="Q72" s="725"/>
      <c r="R72" s="725"/>
      <c r="S72" s="725"/>
      <c r="T72" s="725"/>
      <c r="U72" s="725"/>
      <c r="V72" s="725"/>
      <c r="W72" s="725"/>
      <c r="X72" s="725"/>
      <c r="Y72" s="725"/>
      <c r="Z72" s="725"/>
      <c r="AA72" s="725"/>
      <c r="AB72" s="725"/>
      <c r="AC72" s="725"/>
      <c r="AD72" s="725"/>
      <c r="AE72" s="725"/>
      <c r="AF72" s="725"/>
      <c r="AG72" s="725"/>
      <c r="AH72" s="725"/>
    </row>
    <row r="73" spans="1:34" ht="14.25">
      <c r="A73" s="653">
        <v>9</v>
      </c>
      <c r="B73" s="653" t="s">
        <v>370</v>
      </c>
      <c r="C73" s="653"/>
      <c r="D73" s="653" t="s">
        <v>376</v>
      </c>
      <c r="E73" s="653"/>
      <c r="F73" s="653">
        <v>4</v>
      </c>
      <c r="G73" s="725"/>
      <c r="H73" s="725"/>
      <c r="I73" s="725"/>
      <c r="J73" s="725"/>
      <c r="K73" s="725"/>
      <c r="L73" s="725"/>
      <c r="M73" s="725"/>
      <c r="N73" s="725"/>
      <c r="O73" s="725"/>
      <c r="P73" s="725"/>
      <c r="Q73" s="725"/>
      <c r="R73" s="725"/>
      <c r="S73" s="725"/>
      <c r="T73" s="725"/>
      <c r="U73" s="725"/>
      <c r="V73" s="725"/>
      <c r="W73" s="725"/>
      <c r="X73" s="725"/>
      <c r="Y73" s="725"/>
      <c r="Z73" s="725"/>
      <c r="AA73" s="725"/>
      <c r="AB73" s="725"/>
      <c r="AC73" s="725"/>
      <c r="AD73" s="725"/>
      <c r="AE73" s="725"/>
      <c r="AF73" s="725"/>
      <c r="AG73" s="725"/>
      <c r="AH73" s="725"/>
    </row>
    <row r="74" spans="1:34" ht="14.25">
      <c r="A74" s="653">
        <v>10</v>
      </c>
      <c r="B74" s="653" t="s">
        <v>370</v>
      </c>
      <c r="C74" s="653"/>
      <c r="D74" s="653" t="s">
        <v>377</v>
      </c>
      <c r="E74" s="653"/>
      <c r="F74" s="653">
        <v>1</v>
      </c>
      <c r="G74" s="725"/>
      <c r="H74" s="725"/>
      <c r="I74" s="725"/>
      <c r="J74" s="725"/>
      <c r="K74" s="725"/>
      <c r="L74" s="725"/>
      <c r="M74" s="725"/>
      <c r="N74" s="725"/>
      <c r="O74" s="725"/>
      <c r="P74" s="725"/>
      <c r="Q74" s="725"/>
      <c r="R74" s="725"/>
      <c r="S74" s="725"/>
      <c r="T74" s="725"/>
      <c r="U74" s="725"/>
      <c r="V74" s="725"/>
      <c r="W74" s="725"/>
      <c r="X74" s="725"/>
      <c r="Y74" s="725"/>
      <c r="Z74" s="725"/>
      <c r="AA74" s="725"/>
      <c r="AB74" s="725"/>
      <c r="AC74" s="725"/>
      <c r="AD74" s="725"/>
      <c r="AE74" s="725"/>
      <c r="AF74" s="725"/>
      <c r="AG74" s="725"/>
      <c r="AH74" s="725"/>
    </row>
    <row r="75" spans="1:34" ht="14.25">
      <c r="A75" s="653">
        <v>11</v>
      </c>
      <c r="B75" s="653" t="s">
        <v>370</v>
      </c>
      <c r="C75" s="653"/>
      <c r="D75" s="653" t="s">
        <v>378</v>
      </c>
      <c r="E75" s="653"/>
      <c r="F75" s="653">
        <v>3</v>
      </c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</row>
    <row r="76" spans="1:34" ht="14.25">
      <c r="A76" s="653"/>
      <c r="B76" s="653" t="s">
        <v>370</v>
      </c>
      <c r="C76" s="653"/>
      <c r="D76" s="653" t="s">
        <v>379</v>
      </c>
      <c r="E76" s="653"/>
      <c r="F76" s="653">
        <v>5</v>
      </c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</row>
    <row r="77" spans="1:34" ht="14.25">
      <c r="A77" s="653">
        <v>12</v>
      </c>
      <c r="B77" s="653" t="s">
        <v>380</v>
      </c>
      <c r="C77" s="653"/>
      <c r="D77" s="653" t="s">
        <v>381</v>
      </c>
      <c r="E77" s="653"/>
      <c r="F77" s="653">
        <v>1</v>
      </c>
      <c r="G77" s="725"/>
      <c r="H77" s="725"/>
      <c r="I77" s="725"/>
      <c r="J77" s="725"/>
      <c r="K77" s="725"/>
      <c r="L77" s="725"/>
      <c r="M77" s="725"/>
      <c r="N77" s="725"/>
      <c r="O77" s="725"/>
      <c r="P77" s="725"/>
      <c r="Q77" s="725"/>
      <c r="R77" s="725"/>
      <c r="S77" s="725"/>
      <c r="T77" s="725"/>
      <c r="U77" s="725"/>
      <c r="V77" s="725"/>
      <c r="W77" s="725"/>
      <c r="X77" s="725"/>
      <c r="Y77" s="725"/>
      <c r="Z77" s="725"/>
      <c r="AA77" s="725"/>
      <c r="AB77" s="725"/>
      <c r="AC77" s="725"/>
      <c r="AD77" s="725"/>
      <c r="AE77" s="725"/>
      <c r="AF77" s="725"/>
      <c r="AG77" s="725"/>
      <c r="AH77" s="725"/>
    </row>
    <row r="78" spans="1:34" ht="14.25">
      <c r="A78" s="653">
        <v>13</v>
      </c>
      <c r="B78" s="653" t="s">
        <v>380</v>
      </c>
      <c r="C78" s="653"/>
      <c r="D78" s="653" t="s">
        <v>382</v>
      </c>
      <c r="E78" s="653"/>
      <c r="F78" s="653">
        <v>1</v>
      </c>
      <c r="G78" s="725"/>
      <c r="H78" s="725"/>
      <c r="I78" s="725"/>
      <c r="J78" s="725"/>
      <c r="K78" s="725"/>
      <c r="L78" s="725"/>
      <c r="M78" s="725"/>
      <c r="N78" s="725"/>
      <c r="O78" s="725"/>
      <c r="P78" s="725"/>
      <c r="Q78" s="725"/>
      <c r="R78" s="725"/>
      <c r="S78" s="725"/>
      <c r="T78" s="725"/>
      <c r="U78" s="725"/>
      <c r="V78" s="725"/>
      <c r="W78" s="725"/>
      <c r="X78" s="725"/>
      <c r="Y78" s="725"/>
      <c r="Z78" s="725"/>
      <c r="AA78" s="725"/>
      <c r="AB78" s="725"/>
      <c r="AC78" s="725"/>
      <c r="AD78" s="725"/>
      <c r="AE78" s="725"/>
      <c r="AF78" s="725"/>
      <c r="AG78" s="725"/>
      <c r="AH78" s="725"/>
    </row>
    <row r="79" spans="1:34" ht="14.25">
      <c r="A79" s="653"/>
      <c r="B79" s="653" t="s">
        <v>383</v>
      </c>
      <c r="C79" s="653"/>
      <c r="D79" s="653" t="s">
        <v>384</v>
      </c>
      <c r="E79" s="653"/>
      <c r="F79" s="653">
        <v>1</v>
      </c>
      <c r="G79" s="725"/>
      <c r="H79" s="725"/>
      <c r="I79" s="725"/>
      <c r="J79" s="725"/>
      <c r="K79" s="725"/>
      <c r="L79" s="725"/>
      <c r="M79" s="725"/>
      <c r="N79" s="725"/>
      <c r="O79" s="725"/>
      <c r="P79" s="725"/>
      <c r="Q79" s="725"/>
      <c r="R79" s="725"/>
      <c r="S79" s="725"/>
      <c r="T79" s="725"/>
      <c r="U79" s="725"/>
      <c r="V79" s="725"/>
      <c r="W79" s="725"/>
      <c r="X79" s="725"/>
      <c r="Y79" s="725"/>
      <c r="Z79" s="725"/>
      <c r="AA79" s="725"/>
      <c r="AB79" s="725"/>
      <c r="AC79" s="725"/>
      <c r="AD79" s="725"/>
      <c r="AE79" s="725"/>
      <c r="AF79" s="725"/>
      <c r="AG79" s="725"/>
      <c r="AH79" s="725"/>
    </row>
    <row r="80" spans="1:34" ht="14.25">
      <c r="A80" s="653">
        <v>14</v>
      </c>
      <c r="B80" s="653" t="s">
        <v>385</v>
      </c>
      <c r="C80" s="653"/>
      <c r="D80" s="653" t="s">
        <v>386</v>
      </c>
      <c r="E80" s="653"/>
      <c r="F80" s="653">
        <v>4</v>
      </c>
      <c r="G80" s="725"/>
      <c r="H80" s="725"/>
      <c r="I80" s="725"/>
      <c r="J80" s="725"/>
      <c r="K80" s="725"/>
      <c r="L80" s="725"/>
      <c r="M80" s="725"/>
      <c r="N80" s="725"/>
      <c r="O80" s="725"/>
      <c r="P80" s="725"/>
      <c r="Q80" s="725"/>
      <c r="R80" s="725"/>
      <c r="S80" s="725"/>
      <c r="T80" s="725"/>
      <c r="U80" s="725"/>
      <c r="V80" s="725"/>
      <c r="W80" s="725"/>
      <c r="X80" s="725"/>
      <c r="Y80" s="725"/>
      <c r="Z80" s="725"/>
      <c r="AA80" s="725"/>
      <c r="AB80" s="725"/>
      <c r="AC80" s="725"/>
      <c r="AD80" s="725"/>
      <c r="AE80" s="725"/>
      <c r="AF80" s="725"/>
      <c r="AG80" s="725"/>
      <c r="AH80" s="725"/>
    </row>
    <row r="81" spans="1:34" ht="14.25">
      <c r="A81" s="653">
        <v>15</v>
      </c>
      <c r="B81" s="653" t="s">
        <v>387</v>
      </c>
      <c r="C81" s="653"/>
      <c r="D81" s="653" t="s">
        <v>388</v>
      </c>
      <c r="E81" s="653"/>
      <c r="F81" s="653">
        <v>1</v>
      </c>
      <c r="G81" s="725"/>
      <c r="H81" s="725"/>
      <c r="I81" s="725"/>
      <c r="J81" s="725"/>
      <c r="K81" s="725"/>
      <c r="L81" s="725"/>
      <c r="M81" s="725"/>
      <c r="N81" s="725"/>
      <c r="O81" s="725"/>
      <c r="P81" s="725"/>
      <c r="Q81" s="725"/>
      <c r="R81" s="725"/>
      <c r="S81" s="725"/>
      <c r="T81" s="725"/>
      <c r="U81" s="725"/>
      <c r="V81" s="725"/>
      <c r="W81" s="725"/>
      <c r="X81" s="725"/>
      <c r="Y81" s="725"/>
      <c r="Z81" s="725"/>
      <c r="AA81" s="725"/>
      <c r="AB81" s="725"/>
      <c r="AC81" s="725"/>
      <c r="AD81" s="725"/>
      <c r="AE81" s="725"/>
      <c r="AF81" s="725"/>
      <c r="AG81" s="725"/>
      <c r="AH81" s="725"/>
    </row>
    <row r="82" spans="1:34" ht="14.25">
      <c r="A82" s="653">
        <v>16</v>
      </c>
      <c r="B82" s="653" t="s">
        <v>389</v>
      </c>
      <c r="C82" s="653"/>
      <c r="D82" s="653" t="s">
        <v>390</v>
      </c>
      <c r="E82" s="653"/>
      <c r="F82" s="653">
        <v>5</v>
      </c>
      <c r="G82" s="725"/>
      <c r="H82" s="725"/>
      <c r="I82" s="725"/>
      <c r="J82" s="725"/>
      <c r="K82" s="725"/>
      <c r="L82" s="725"/>
      <c r="M82" s="725"/>
      <c r="N82" s="725"/>
      <c r="O82" s="725"/>
      <c r="P82" s="725"/>
      <c r="Q82" s="725"/>
      <c r="R82" s="725"/>
      <c r="S82" s="725"/>
      <c r="T82" s="725"/>
      <c r="U82" s="725"/>
      <c r="V82" s="725"/>
      <c r="W82" s="725"/>
      <c r="X82" s="725"/>
      <c r="Y82" s="725"/>
      <c r="Z82" s="725"/>
      <c r="AA82" s="725"/>
      <c r="AB82" s="725"/>
      <c r="AC82" s="725"/>
      <c r="AD82" s="725"/>
      <c r="AE82" s="725"/>
      <c r="AF82" s="725"/>
      <c r="AG82" s="725"/>
      <c r="AH82" s="725"/>
    </row>
    <row r="83" spans="1:34" ht="14.25">
      <c r="A83" s="653">
        <v>17</v>
      </c>
      <c r="B83" s="653" t="s">
        <v>391</v>
      </c>
      <c r="C83" s="653"/>
      <c r="D83" s="653" t="s">
        <v>392</v>
      </c>
      <c r="E83" s="653"/>
      <c r="F83" s="653">
        <v>5</v>
      </c>
      <c r="G83" s="725"/>
      <c r="H83" s="725"/>
      <c r="I83" s="725"/>
      <c r="J83" s="725"/>
      <c r="K83" s="725"/>
      <c r="L83" s="725"/>
      <c r="M83" s="725"/>
      <c r="N83" s="725"/>
      <c r="O83" s="725"/>
      <c r="P83" s="725"/>
      <c r="Q83" s="725"/>
      <c r="R83" s="725"/>
      <c r="S83" s="725"/>
      <c r="T83" s="725"/>
      <c r="U83" s="725"/>
      <c r="V83" s="725"/>
      <c r="W83" s="725"/>
      <c r="X83" s="725"/>
      <c r="Y83" s="725"/>
      <c r="Z83" s="725"/>
      <c r="AA83" s="725"/>
      <c r="AB83" s="725"/>
      <c r="AC83" s="725"/>
      <c r="AD83" s="725"/>
      <c r="AE83" s="725"/>
      <c r="AF83" s="725"/>
      <c r="AG83" s="725"/>
      <c r="AH83" s="725"/>
    </row>
    <row r="84" spans="1:34" ht="15" thickBot="1">
      <c r="A84" s="540" t="s">
        <v>393</v>
      </c>
      <c r="B84" s="540"/>
      <c r="C84" s="540"/>
      <c r="D84" s="540"/>
      <c r="E84" s="540"/>
      <c r="F84" s="540"/>
      <c r="G84" s="726"/>
      <c r="H84" s="726"/>
      <c r="I84" s="726"/>
      <c r="J84" s="726"/>
      <c r="K84" s="726"/>
      <c r="L84" s="726"/>
      <c r="M84" s="726"/>
      <c r="N84" s="726"/>
      <c r="O84" s="726"/>
      <c r="P84" s="726"/>
      <c r="Q84" s="726"/>
      <c r="R84" s="726"/>
      <c r="S84" s="726"/>
      <c r="T84" s="726"/>
      <c r="U84" s="726"/>
      <c r="V84" s="726"/>
      <c r="W84" s="726"/>
      <c r="X84" s="726"/>
      <c r="Y84" s="726"/>
      <c r="Z84" s="726"/>
      <c r="AA84" s="726"/>
      <c r="AB84" s="726"/>
      <c r="AC84" s="726"/>
      <c r="AD84" s="726"/>
      <c r="AE84" s="726"/>
      <c r="AF84" s="726"/>
      <c r="AG84" s="726"/>
      <c r="AH84" s="726"/>
    </row>
    <row r="85" spans="1:34" ht="14.25">
      <c r="A85" s="727">
        <v>1</v>
      </c>
      <c r="B85" s="728" t="s">
        <v>364</v>
      </c>
      <c r="C85" s="728"/>
      <c r="D85" s="728" t="s">
        <v>365</v>
      </c>
      <c r="E85" s="728"/>
      <c r="F85" s="728">
        <v>9</v>
      </c>
      <c r="G85" s="729"/>
      <c r="H85" s="729"/>
      <c r="I85" s="730"/>
      <c r="J85" s="729"/>
      <c r="K85" s="729"/>
      <c r="L85" s="729"/>
      <c r="M85" s="729"/>
      <c r="N85" s="730"/>
      <c r="O85" s="729"/>
      <c r="P85" s="729"/>
      <c r="Q85" s="729"/>
      <c r="R85" s="729"/>
      <c r="S85" s="729"/>
      <c r="T85" s="729"/>
      <c r="U85" s="729"/>
      <c r="V85" s="729"/>
      <c r="W85" s="729"/>
      <c r="X85" s="729"/>
      <c r="Y85" s="729"/>
      <c r="Z85" s="729"/>
      <c r="AA85" s="729"/>
      <c r="AB85" s="729"/>
      <c r="AC85" s="729"/>
      <c r="AD85" s="729"/>
      <c r="AE85" s="729"/>
      <c r="AF85" s="730"/>
      <c r="AG85" s="730"/>
      <c r="AH85" s="731"/>
    </row>
    <row r="86" spans="1:34" ht="14.25">
      <c r="A86" s="732">
        <v>2</v>
      </c>
      <c r="B86" s="653" t="s">
        <v>366</v>
      </c>
      <c r="C86" s="653"/>
      <c r="D86" s="653" t="s">
        <v>367</v>
      </c>
      <c r="E86" s="653"/>
      <c r="F86" s="653">
        <v>14</v>
      </c>
      <c r="G86" s="725"/>
      <c r="H86" s="725"/>
      <c r="I86" s="733"/>
      <c r="J86" s="725"/>
      <c r="K86" s="725"/>
      <c r="L86" s="725"/>
      <c r="M86" s="725"/>
      <c r="N86" s="733"/>
      <c r="O86" s="725"/>
      <c r="P86" s="725"/>
      <c r="Q86" s="725"/>
      <c r="R86" s="725"/>
      <c r="S86" s="725"/>
      <c r="T86" s="725"/>
      <c r="U86" s="725"/>
      <c r="V86" s="725"/>
      <c r="W86" s="725"/>
      <c r="X86" s="725"/>
      <c r="Y86" s="725"/>
      <c r="Z86" s="725"/>
      <c r="AA86" s="725"/>
      <c r="AB86" s="725"/>
      <c r="AC86" s="725"/>
      <c r="AD86" s="725"/>
      <c r="AE86" s="725"/>
      <c r="AF86" s="733"/>
      <c r="AG86" s="733"/>
      <c r="AH86" s="734"/>
    </row>
    <row r="87" spans="1:34" ht="14.25">
      <c r="A87" s="732">
        <v>3</v>
      </c>
      <c r="B87" s="653" t="s">
        <v>368</v>
      </c>
      <c r="C87" s="653"/>
      <c r="D87" s="653" t="s">
        <v>369</v>
      </c>
      <c r="E87" s="653"/>
      <c r="F87" s="653">
        <v>7</v>
      </c>
      <c r="G87" s="725"/>
      <c r="H87" s="725"/>
      <c r="I87" s="733"/>
      <c r="J87" s="725"/>
      <c r="K87" s="725"/>
      <c r="L87" s="725"/>
      <c r="M87" s="725"/>
      <c r="N87" s="733"/>
      <c r="O87" s="725"/>
      <c r="P87" s="725"/>
      <c r="Q87" s="725"/>
      <c r="R87" s="725"/>
      <c r="S87" s="725"/>
      <c r="T87" s="725"/>
      <c r="U87" s="725"/>
      <c r="V87" s="725"/>
      <c r="W87" s="725"/>
      <c r="X87" s="725"/>
      <c r="Y87" s="725"/>
      <c r="Z87" s="725"/>
      <c r="AA87" s="725"/>
      <c r="AB87" s="725"/>
      <c r="AC87" s="725"/>
      <c r="AD87" s="725"/>
      <c r="AE87" s="725"/>
      <c r="AF87" s="733"/>
      <c r="AG87" s="733"/>
      <c r="AH87" s="734"/>
    </row>
    <row r="88" spans="1:34" ht="14.25">
      <c r="A88" s="732">
        <v>4</v>
      </c>
      <c r="B88" s="653" t="s">
        <v>370</v>
      </c>
      <c r="C88" s="653"/>
      <c r="D88" s="653" t="s">
        <v>371</v>
      </c>
      <c r="E88" s="653"/>
      <c r="F88" s="653">
        <v>3</v>
      </c>
      <c r="G88" s="725"/>
      <c r="H88" s="725"/>
      <c r="I88" s="733"/>
      <c r="J88" s="725"/>
      <c r="K88" s="725"/>
      <c r="L88" s="725"/>
      <c r="M88" s="725"/>
      <c r="N88" s="733"/>
      <c r="O88" s="725"/>
      <c r="P88" s="725"/>
      <c r="Q88" s="725"/>
      <c r="R88" s="725"/>
      <c r="S88" s="725"/>
      <c r="T88" s="725"/>
      <c r="U88" s="725"/>
      <c r="V88" s="725"/>
      <c r="W88" s="725"/>
      <c r="X88" s="725"/>
      <c r="Y88" s="725"/>
      <c r="Z88" s="725"/>
      <c r="AA88" s="725"/>
      <c r="AB88" s="725"/>
      <c r="AC88" s="725"/>
      <c r="AD88" s="725"/>
      <c r="AE88" s="725"/>
      <c r="AF88" s="733"/>
      <c r="AG88" s="733"/>
      <c r="AH88" s="734"/>
    </row>
    <row r="89" spans="1:34" ht="14.25">
      <c r="A89" s="732">
        <v>5</v>
      </c>
      <c r="B89" s="653" t="s">
        <v>370</v>
      </c>
      <c r="C89" s="653"/>
      <c r="D89" s="653" t="s">
        <v>372</v>
      </c>
      <c r="E89" s="653"/>
      <c r="F89" s="653">
        <v>10</v>
      </c>
      <c r="G89" s="725"/>
      <c r="H89" s="725"/>
      <c r="I89" s="733"/>
      <c r="J89" s="725"/>
      <c r="K89" s="725"/>
      <c r="L89" s="725"/>
      <c r="M89" s="725"/>
      <c r="N89" s="733"/>
      <c r="O89" s="725"/>
      <c r="P89" s="725"/>
      <c r="Q89" s="725"/>
      <c r="R89" s="725"/>
      <c r="S89" s="725"/>
      <c r="T89" s="725"/>
      <c r="U89" s="725"/>
      <c r="V89" s="725"/>
      <c r="W89" s="725"/>
      <c r="X89" s="725"/>
      <c r="Y89" s="725"/>
      <c r="Z89" s="725"/>
      <c r="AA89" s="725"/>
      <c r="AB89" s="725"/>
      <c r="AC89" s="725"/>
      <c r="AD89" s="725"/>
      <c r="AE89" s="725"/>
      <c r="AF89" s="733"/>
      <c r="AG89" s="733"/>
      <c r="AH89" s="734"/>
    </row>
    <row r="90" spans="1:34" ht="14.25">
      <c r="A90" s="732">
        <v>6</v>
      </c>
      <c r="B90" s="653" t="s">
        <v>370</v>
      </c>
      <c r="C90" s="653"/>
      <c r="D90" s="653" t="s">
        <v>373</v>
      </c>
      <c r="E90" s="653"/>
      <c r="F90" s="653">
        <v>3</v>
      </c>
      <c r="G90" s="725"/>
      <c r="H90" s="725"/>
      <c r="I90" s="733"/>
      <c r="J90" s="725"/>
      <c r="K90" s="725"/>
      <c r="L90" s="725"/>
      <c r="M90" s="725"/>
      <c r="N90" s="733"/>
      <c r="O90" s="725"/>
      <c r="P90" s="725"/>
      <c r="Q90" s="725"/>
      <c r="R90" s="725"/>
      <c r="S90" s="725"/>
      <c r="T90" s="725"/>
      <c r="U90" s="725"/>
      <c r="V90" s="725"/>
      <c r="W90" s="725"/>
      <c r="X90" s="725"/>
      <c r="Y90" s="725"/>
      <c r="Z90" s="725"/>
      <c r="AA90" s="725"/>
      <c r="AB90" s="725"/>
      <c r="AC90" s="725"/>
      <c r="AD90" s="725"/>
      <c r="AE90" s="725"/>
      <c r="AF90" s="733"/>
      <c r="AG90" s="733"/>
      <c r="AH90" s="734"/>
    </row>
    <row r="91" spans="1:34" ht="14.25">
      <c r="A91" s="732">
        <v>7</v>
      </c>
      <c r="B91" s="653" t="s">
        <v>370</v>
      </c>
      <c r="C91" s="653"/>
      <c r="D91" s="653" t="s">
        <v>374</v>
      </c>
      <c r="E91" s="653"/>
      <c r="F91" s="653">
        <v>3</v>
      </c>
      <c r="G91" s="725"/>
      <c r="H91" s="725"/>
      <c r="I91" s="733"/>
      <c r="J91" s="725"/>
      <c r="K91" s="725"/>
      <c r="L91" s="725"/>
      <c r="M91" s="725"/>
      <c r="N91" s="733"/>
      <c r="O91" s="725"/>
      <c r="P91" s="725"/>
      <c r="Q91" s="725"/>
      <c r="R91" s="725"/>
      <c r="S91" s="725"/>
      <c r="T91" s="725"/>
      <c r="U91" s="725"/>
      <c r="V91" s="725"/>
      <c r="W91" s="725"/>
      <c r="X91" s="725"/>
      <c r="Y91" s="725"/>
      <c r="Z91" s="725"/>
      <c r="AA91" s="725"/>
      <c r="AB91" s="725"/>
      <c r="AC91" s="725"/>
      <c r="AD91" s="725"/>
      <c r="AE91" s="725"/>
      <c r="AF91" s="733"/>
      <c r="AG91" s="733"/>
      <c r="AH91" s="734"/>
    </row>
    <row r="92" spans="1:34" ht="14.25">
      <c r="A92" s="732">
        <v>8</v>
      </c>
      <c r="B92" s="653" t="s">
        <v>370</v>
      </c>
      <c r="C92" s="653"/>
      <c r="D92" s="653" t="s">
        <v>375</v>
      </c>
      <c r="E92" s="653"/>
      <c r="F92" s="653">
        <v>3</v>
      </c>
      <c r="G92" s="725"/>
      <c r="H92" s="725"/>
      <c r="I92" s="733"/>
      <c r="J92" s="725"/>
      <c r="K92" s="725"/>
      <c r="L92" s="725"/>
      <c r="M92" s="725"/>
      <c r="N92" s="733"/>
      <c r="O92" s="725"/>
      <c r="P92" s="725"/>
      <c r="Q92" s="725"/>
      <c r="R92" s="725"/>
      <c r="S92" s="725"/>
      <c r="T92" s="725"/>
      <c r="U92" s="725"/>
      <c r="V92" s="725"/>
      <c r="W92" s="725"/>
      <c r="X92" s="725"/>
      <c r="Y92" s="725"/>
      <c r="Z92" s="725"/>
      <c r="AA92" s="725"/>
      <c r="AB92" s="725"/>
      <c r="AC92" s="725"/>
      <c r="AD92" s="725"/>
      <c r="AE92" s="725"/>
      <c r="AF92" s="733"/>
      <c r="AG92" s="733"/>
      <c r="AH92" s="734"/>
    </row>
    <row r="93" spans="1:34" ht="14.25">
      <c r="A93" s="732">
        <v>9</v>
      </c>
      <c r="B93" s="653" t="s">
        <v>370</v>
      </c>
      <c r="C93" s="653"/>
      <c r="D93" s="653" t="s">
        <v>376</v>
      </c>
      <c r="E93" s="653"/>
      <c r="F93" s="653">
        <v>4</v>
      </c>
      <c r="G93" s="725"/>
      <c r="H93" s="725"/>
      <c r="I93" s="733"/>
      <c r="J93" s="725"/>
      <c r="K93" s="725"/>
      <c r="L93" s="725"/>
      <c r="M93" s="725"/>
      <c r="N93" s="733"/>
      <c r="O93" s="725"/>
      <c r="P93" s="725"/>
      <c r="Q93" s="725"/>
      <c r="R93" s="725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33"/>
      <c r="AG93" s="733"/>
      <c r="AH93" s="734"/>
    </row>
    <row r="94" spans="1:34" ht="14.25">
      <c r="A94" s="732">
        <v>10</v>
      </c>
      <c r="B94" s="653" t="s">
        <v>370</v>
      </c>
      <c r="C94" s="653"/>
      <c r="D94" s="653" t="s">
        <v>377</v>
      </c>
      <c r="E94" s="653"/>
      <c r="F94" s="653">
        <v>1</v>
      </c>
      <c r="G94" s="725"/>
      <c r="H94" s="725"/>
      <c r="I94" s="733"/>
      <c r="J94" s="725"/>
      <c r="K94" s="725"/>
      <c r="L94" s="725"/>
      <c r="M94" s="725"/>
      <c r="N94" s="733"/>
      <c r="O94" s="725"/>
      <c r="P94" s="725"/>
      <c r="Q94" s="725"/>
      <c r="R94" s="725"/>
      <c r="S94" s="725"/>
      <c r="T94" s="725"/>
      <c r="U94" s="725"/>
      <c r="V94" s="725"/>
      <c r="W94" s="725"/>
      <c r="X94" s="725"/>
      <c r="Y94" s="725"/>
      <c r="Z94" s="725"/>
      <c r="AA94" s="725"/>
      <c r="AB94" s="725"/>
      <c r="AC94" s="725"/>
      <c r="AD94" s="725"/>
      <c r="AE94" s="725"/>
      <c r="AF94" s="733"/>
      <c r="AG94" s="733"/>
      <c r="AH94" s="734"/>
    </row>
    <row r="95" spans="1:34" ht="14.25">
      <c r="A95" s="732">
        <v>11</v>
      </c>
      <c r="B95" s="653" t="s">
        <v>370</v>
      </c>
      <c r="C95" s="653"/>
      <c r="D95" s="653" t="s">
        <v>378</v>
      </c>
      <c r="E95" s="653"/>
      <c r="F95" s="653">
        <v>3</v>
      </c>
      <c r="G95" s="725"/>
      <c r="H95" s="725"/>
      <c r="I95" s="733"/>
      <c r="J95" s="725"/>
      <c r="K95" s="725"/>
      <c r="L95" s="725"/>
      <c r="M95" s="725"/>
      <c r="N95" s="733"/>
      <c r="O95" s="725"/>
      <c r="P95" s="725"/>
      <c r="Q95" s="725"/>
      <c r="R95" s="725"/>
      <c r="S95" s="725"/>
      <c r="T95" s="725"/>
      <c r="U95" s="725"/>
      <c r="V95" s="725"/>
      <c r="W95" s="725"/>
      <c r="X95" s="725"/>
      <c r="Y95" s="725"/>
      <c r="Z95" s="725"/>
      <c r="AA95" s="725"/>
      <c r="AB95" s="725"/>
      <c r="AC95" s="725"/>
      <c r="AD95" s="725"/>
      <c r="AE95" s="725"/>
      <c r="AF95" s="733"/>
      <c r="AG95" s="733"/>
      <c r="AH95" s="734"/>
    </row>
    <row r="96" spans="1:34" ht="14.25">
      <c r="A96" s="732">
        <v>12</v>
      </c>
      <c r="B96" s="653" t="s">
        <v>370</v>
      </c>
      <c r="C96" s="653"/>
      <c r="D96" s="653" t="s">
        <v>335</v>
      </c>
      <c r="E96" s="653"/>
      <c r="F96" s="653">
        <v>1</v>
      </c>
      <c r="G96" s="725"/>
      <c r="H96" s="725"/>
      <c r="I96" s="733"/>
      <c r="J96" s="725"/>
      <c r="K96" s="725"/>
      <c r="L96" s="725"/>
      <c r="M96" s="725"/>
      <c r="N96" s="733"/>
      <c r="O96" s="725"/>
      <c r="P96" s="725"/>
      <c r="Q96" s="725"/>
      <c r="R96" s="725"/>
      <c r="S96" s="725"/>
      <c r="T96" s="725"/>
      <c r="U96" s="725"/>
      <c r="V96" s="725"/>
      <c r="W96" s="725"/>
      <c r="X96" s="725"/>
      <c r="Y96" s="725"/>
      <c r="Z96" s="725"/>
      <c r="AA96" s="725"/>
      <c r="AB96" s="725"/>
      <c r="AC96" s="725"/>
      <c r="AD96" s="725"/>
      <c r="AE96" s="725"/>
      <c r="AF96" s="733"/>
      <c r="AG96" s="733"/>
      <c r="AH96" s="734"/>
    </row>
    <row r="97" spans="1:34" ht="14.25">
      <c r="A97" s="732">
        <v>13</v>
      </c>
      <c r="B97" s="653" t="s">
        <v>370</v>
      </c>
      <c r="C97" s="653"/>
      <c r="D97" s="653" t="s">
        <v>336</v>
      </c>
      <c r="E97" s="653"/>
      <c r="F97" s="653">
        <v>4</v>
      </c>
      <c r="G97" s="725"/>
      <c r="H97" s="725"/>
      <c r="I97" s="733"/>
      <c r="J97" s="725"/>
      <c r="K97" s="725"/>
      <c r="L97" s="725"/>
      <c r="M97" s="725"/>
      <c r="N97" s="733"/>
      <c r="O97" s="725"/>
      <c r="P97" s="725"/>
      <c r="Q97" s="725"/>
      <c r="R97" s="725"/>
      <c r="S97" s="725"/>
      <c r="T97" s="725"/>
      <c r="U97" s="725"/>
      <c r="V97" s="725"/>
      <c r="W97" s="725"/>
      <c r="X97" s="725"/>
      <c r="Y97" s="725"/>
      <c r="Z97" s="725"/>
      <c r="AA97" s="725"/>
      <c r="AB97" s="725"/>
      <c r="AC97" s="725"/>
      <c r="AD97" s="725"/>
      <c r="AE97" s="725"/>
      <c r="AF97" s="733"/>
      <c r="AG97" s="733"/>
      <c r="AH97" s="734"/>
    </row>
    <row r="98" spans="1:34" ht="14.25">
      <c r="A98" s="732">
        <v>14</v>
      </c>
      <c r="B98" s="653" t="s">
        <v>370</v>
      </c>
      <c r="C98" s="653"/>
      <c r="D98" s="653" t="s">
        <v>379</v>
      </c>
      <c r="E98" s="653"/>
      <c r="F98" s="653">
        <v>5</v>
      </c>
      <c r="G98" s="725"/>
      <c r="H98" s="725"/>
      <c r="I98" s="733"/>
      <c r="J98" s="725"/>
      <c r="K98" s="725"/>
      <c r="L98" s="725"/>
      <c r="M98" s="725"/>
      <c r="N98" s="733"/>
      <c r="O98" s="725"/>
      <c r="P98" s="725"/>
      <c r="Q98" s="725"/>
      <c r="R98" s="725"/>
      <c r="S98" s="725"/>
      <c r="T98" s="725"/>
      <c r="U98" s="725"/>
      <c r="V98" s="725"/>
      <c r="W98" s="725"/>
      <c r="X98" s="725"/>
      <c r="Y98" s="725"/>
      <c r="Z98" s="725"/>
      <c r="AA98" s="725"/>
      <c r="AB98" s="725"/>
      <c r="AC98" s="725"/>
      <c r="AD98" s="725"/>
      <c r="AE98" s="725"/>
      <c r="AF98" s="733"/>
      <c r="AG98" s="733"/>
      <c r="AH98" s="734"/>
    </row>
    <row r="99" spans="1:34" ht="14.25">
      <c r="A99" s="732">
        <v>15</v>
      </c>
      <c r="B99" s="653" t="s">
        <v>380</v>
      </c>
      <c r="C99" s="653"/>
      <c r="D99" s="653" t="s">
        <v>381</v>
      </c>
      <c r="E99" s="653"/>
      <c r="F99" s="653">
        <v>1</v>
      </c>
      <c r="G99" s="725"/>
      <c r="H99" s="725"/>
      <c r="I99" s="733"/>
      <c r="J99" s="725"/>
      <c r="K99" s="725"/>
      <c r="L99" s="725"/>
      <c r="M99" s="725"/>
      <c r="N99" s="733"/>
      <c r="O99" s="725"/>
      <c r="P99" s="725"/>
      <c r="Q99" s="725"/>
      <c r="R99" s="725"/>
      <c r="S99" s="725"/>
      <c r="T99" s="725"/>
      <c r="U99" s="725"/>
      <c r="V99" s="725"/>
      <c r="W99" s="725"/>
      <c r="X99" s="725"/>
      <c r="Y99" s="725"/>
      <c r="Z99" s="725"/>
      <c r="AA99" s="725"/>
      <c r="AB99" s="725"/>
      <c r="AC99" s="725"/>
      <c r="AD99" s="725"/>
      <c r="AE99" s="725"/>
      <c r="AF99" s="733"/>
      <c r="AG99" s="733"/>
      <c r="AH99" s="734"/>
    </row>
    <row r="100" spans="1:34" ht="14.25">
      <c r="A100" s="732">
        <v>16</v>
      </c>
      <c r="B100" s="653" t="s">
        <v>380</v>
      </c>
      <c r="C100" s="653"/>
      <c r="D100" s="653" t="s">
        <v>382</v>
      </c>
      <c r="E100" s="653"/>
      <c r="F100" s="653">
        <v>1</v>
      </c>
      <c r="G100" s="725"/>
      <c r="H100" s="725"/>
      <c r="I100" s="733"/>
      <c r="J100" s="725"/>
      <c r="K100" s="725"/>
      <c r="L100" s="725"/>
      <c r="M100" s="725"/>
      <c r="N100" s="733"/>
      <c r="O100" s="725"/>
      <c r="P100" s="725"/>
      <c r="Q100" s="725"/>
      <c r="R100" s="725"/>
      <c r="S100" s="725"/>
      <c r="T100" s="725"/>
      <c r="U100" s="725"/>
      <c r="V100" s="725"/>
      <c r="W100" s="725"/>
      <c r="X100" s="725"/>
      <c r="Y100" s="725"/>
      <c r="Z100" s="725"/>
      <c r="AA100" s="725"/>
      <c r="AB100" s="725"/>
      <c r="AC100" s="725"/>
      <c r="AD100" s="725"/>
      <c r="AE100" s="725"/>
      <c r="AF100" s="733"/>
      <c r="AG100" s="733"/>
      <c r="AH100" s="734"/>
    </row>
    <row r="101" spans="1:34" ht="14.25">
      <c r="A101" s="732">
        <v>17</v>
      </c>
      <c r="B101" s="653" t="s">
        <v>383</v>
      </c>
      <c r="C101" s="653"/>
      <c r="D101" s="653" t="s">
        <v>384</v>
      </c>
      <c r="E101" s="653"/>
      <c r="F101" s="653">
        <v>1</v>
      </c>
      <c r="G101" s="725"/>
      <c r="H101" s="725"/>
      <c r="I101" s="733"/>
      <c r="J101" s="725"/>
      <c r="K101" s="725"/>
      <c r="L101" s="725"/>
      <c r="M101" s="725"/>
      <c r="N101" s="733"/>
      <c r="O101" s="725"/>
      <c r="P101" s="725"/>
      <c r="Q101" s="725"/>
      <c r="R101" s="725"/>
      <c r="S101" s="725"/>
      <c r="T101" s="725"/>
      <c r="U101" s="725"/>
      <c r="V101" s="725"/>
      <c r="W101" s="725"/>
      <c r="X101" s="725"/>
      <c r="Y101" s="725"/>
      <c r="Z101" s="725"/>
      <c r="AA101" s="725"/>
      <c r="AB101" s="725"/>
      <c r="AC101" s="725"/>
      <c r="AD101" s="725"/>
      <c r="AE101" s="725"/>
      <c r="AF101" s="733"/>
      <c r="AG101" s="733"/>
      <c r="AH101" s="734"/>
    </row>
    <row r="102" spans="1:34" ht="14.25">
      <c r="A102" s="732">
        <v>18</v>
      </c>
      <c r="B102" s="653" t="s">
        <v>385</v>
      </c>
      <c r="C102" s="653"/>
      <c r="D102" s="653" t="s">
        <v>386</v>
      </c>
      <c r="E102" s="653"/>
      <c r="F102" s="653">
        <v>4</v>
      </c>
      <c r="G102" s="725"/>
      <c r="H102" s="725"/>
      <c r="I102" s="733"/>
      <c r="J102" s="725"/>
      <c r="K102" s="725"/>
      <c r="L102" s="725"/>
      <c r="M102" s="725"/>
      <c r="N102" s="733"/>
      <c r="O102" s="725"/>
      <c r="P102" s="725"/>
      <c r="Q102" s="725"/>
      <c r="R102" s="725"/>
      <c r="S102" s="725"/>
      <c r="T102" s="725"/>
      <c r="U102" s="725"/>
      <c r="V102" s="725"/>
      <c r="W102" s="725"/>
      <c r="X102" s="725"/>
      <c r="Y102" s="725"/>
      <c r="Z102" s="725"/>
      <c r="AA102" s="725"/>
      <c r="AB102" s="725"/>
      <c r="AC102" s="725"/>
      <c r="AD102" s="725"/>
      <c r="AE102" s="725"/>
      <c r="AF102" s="733"/>
      <c r="AG102" s="733"/>
      <c r="AH102" s="734"/>
    </row>
    <row r="103" spans="1:34" ht="14.25">
      <c r="A103" s="732">
        <v>19</v>
      </c>
      <c r="B103" s="653" t="s">
        <v>387</v>
      </c>
      <c r="C103" s="653"/>
      <c r="D103" s="653" t="s">
        <v>388</v>
      </c>
      <c r="E103" s="653"/>
      <c r="F103" s="653">
        <v>1</v>
      </c>
      <c r="G103" s="725"/>
      <c r="H103" s="725"/>
      <c r="I103" s="733"/>
      <c r="J103" s="725"/>
      <c r="K103" s="725"/>
      <c r="L103" s="725"/>
      <c r="M103" s="725"/>
      <c r="N103" s="733"/>
      <c r="O103" s="725"/>
      <c r="P103" s="725"/>
      <c r="Q103" s="725"/>
      <c r="R103" s="725"/>
      <c r="S103" s="725"/>
      <c r="T103" s="725"/>
      <c r="U103" s="725"/>
      <c r="V103" s="725"/>
      <c r="W103" s="725"/>
      <c r="X103" s="725"/>
      <c r="Y103" s="725"/>
      <c r="Z103" s="725"/>
      <c r="AA103" s="725"/>
      <c r="AB103" s="725"/>
      <c r="AC103" s="725"/>
      <c r="AD103" s="725"/>
      <c r="AE103" s="725"/>
      <c r="AF103" s="733"/>
      <c r="AG103" s="733"/>
      <c r="AH103" s="734"/>
    </row>
    <row r="104" spans="1:34" ht="14.25">
      <c r="A104" s="732">
        <v>20</v>
      </c>
      <c r="B104" s="653" t="s">
        <v>389</v>
      </c>
      <c r="C104" s="653"/>
      <c r="D104" s="653" t="s">
        <v>390</v>
      </c>
      <c r="E104" s="653"/>
      <c r="F104" s="653">
        <v>5</v>
      </c>
      <c r="G104" s="725"/>
      <c r="H104" s="725"/>
      <c r="I104" s="733"/>
      <c r="J104" s="725"/>
      <c r="K104" s="725"/>
      <c r="L104" s="725"/>
      <c r="M104" s="725"/>
      <c r="N104" s="733"/>
      <c r="O104" s="725"/>
      <c r="P104" s="725"/>
      <c r="Q104" s="725"/>
      <c r="R104" s="725"/>
      <c r="S104" s="725"/>
      <c r="T104" s="725"/>
      <c r="U104" s="725"/>
      <c r="V104" s="725"/>
      <c r="W104" s="725"/>
      <c r="X104" s="725"/>
      <c r="Y104" s="725"/>
      <c r="Z104" s="725"/>
      <c r="AA104" s="725"/>
      <c r="AB104" s="725"/>
      <c r="AC104" s="725"/>
      <c r="AD104" s="725"/>
      <c r="AE104" s="725"/>
      <c r="AF104" s="733"/>
      <c r="AG104" s="733"/>
      <c r="AH104" s="734"/>
    </row>
    <row r="105" spans="1:34" ht="14.25">
      <c r="A105" s="732"/>
      <c r="B105" s="653" t="s">
        <v>358</v>
      </c>
      <c r="C105" s="653"/>
      <c r="D105" s="653" t="s">
        <v>359</v>
      </c>
      <c r="E105" s="653"/>
      <c r="F105" s="653">
        <v>5</v>
      </c>
      <c r="G105" s="725"/>
      <c r="H105" s="725"/>
      <c r="I105" s="733"/>
      <c r="J105" s="725"/>
      <c r="K105" s="725"/>
      <c r="L105" s="725"/>
      <c r="M105" s="725"/>
      <c r="N105" s="733"/>
      <c r="O105" s="725"/>
      <c r="P105" s="725"/>
      <c r="Q105" s="725"/>
      <c r="R105" s="725"/>
      <c r="S105" s="725"/>
      <c r="T105" s="725"/>
      <c r="U105" s="725"/>
      <c r="V105" s="725"/>
      <c r="W105" s="725"/>
      <c r="X105" s="725"/>
      <c r="Y105" s="725"/>
      <c r="Z105" s="725"/>
      <c r="AA105" s="725"/>
      <c r="AB105" s="725"/>
      <c r="AC105" s="725"/>
      <c r="AD105" s="725"/>
      <c r="AE105" s="725"/>
      <c r="AF105" s="733"/>
      <c r="AG105" s="733"/>
      <c r="AH105" s="734"/>
    </row>
    <row r="106" spans="1:34" ht="14.25">
      <c r="A106" s="732">
        <v>21</v>
      </c>
      <c r="B106" s="653" t="s">
        <v>351</v>
      </c>
      <c r="C106" s="653"/>
      <c r="D106" s="653" t="s">
        <v>352</v>
      </c>
      <c r="E106" s="653"/>
      <c r="F106" s="653">
        <v>1</v>
      </c>
      <c r="G106" s="725"/>
      <c r="H106" s="725"/>
      <c r="I106" s="733"/>
      <c r="J106" s="725"/>
      <c r="K106" s="725"/>
      <c r="L106" s="725"/>
      <c r="M106" s="725"/>
      <c r="N106" s="733"/>
      <c r="O106" s="725"/>
      <c r="P106" s="725"/>
      <c r="Q106" s="725"/>
      <c r="R106" s="725"/>
      <c r="S106" s="725"/>
      <c r="T106" s="725"/>
      <c r="U106" s="725"/>
      <c r="V106" s="725"/>
      <c r="W106" s="725"/>
      <c r="X106" s="725"/>
      <c r="Y106" s="725"/>
      <c r="Z106" s="725"/>
      <c r="AA106" s="725"/>
      <c r="AB106" s="725"/>
      <c r="AC106" s="725"/>
      <c r="AD106" s="725"/>
      <c r="AE106" s="725"/>
      <c r="AF106" s="733"/>
      <c r="AG106" s="733"/>
      <c r="AH106" s="734"/>
    </row>
    <row r="107" spans="1:34" ht="15" thickBot="1">
      <c r="A107" s="628"/>
      <c r="B107" s="294"/>
      <c r="C107" s="294"/>
      <c r="D107" s="294"/>
      <c r="E107" s="294"/>
      <c r="F107" s="294"/>
      <c r="G107" s="735"/>
      <c r="H107" s="735"/>
      <c r="I107" s="736"/>
      <c r="J107" s="735"/>
      <c r="K107" s="735"/>
      <c r="L107" s="735"/>
      <c r="M107" s="735"/>
      <c r="N107" s="735"/>
      <c r="O107" s="735"/>
      <c r="P107" s="735"/>
      <c r="Q107" s="735"/>
      <c r="R107" s="735"/>
      <c r="S107" s="735"/>
      <c r="T107" s="735"/>
      <c r="U107" s="735"/>
      <c r="V107" s="735"/>
      <c r="W107" s="735"/>
      <c r="X107" s="735"/>
      <c r="Y107" s="735"/>
      <c r="Z107" s="735"/>
      <c r="AA107" s="735"/>
      <c r="AB107" s="735"/>
      <c r="AC107" s="735"/>
      <c r="AD107" s="735"/>
      <c r="AE107" s="735"/>
      <c r="AF107" s="735"/>
      <c r="AG107" s="735"/>
      <c r="AH107" s="737"/>
    </row>
    <row r="108" spans="7:34" ht="14.25">
      <c r="G108" s="622"/>
      <c r="H108" s="622"/>
      <c r="I108" s="622"/>
      <c r="J108" s="622"/>
      <c r="K108" s="622"/>
      <c r="L108" s="622">
        <v>1393130</v>
      </c>
      <c r="M108" s="622"/>
      <c r="N108" s="622"/>
      <c r="O108" s="622"/>
      <c r="P108" s="622"/>
      <c r="Q108" s="622"/>
      <c r="R108" s="622"/>
      <c r="S108" s="622"/>
      <c r="T108" s="622"/>
      <c r="U108" s="622"/>
      <c r="V108" s="622"/>
      <c r="W108" s="622"/>
      <c r="X108" s="622"/>
      <c r="Y108" s="622"/>
      <c r="Z108" s="622"/>
      <c r="AA108" s="622"/>
      <c r="AB108" s="622"/>
      <c r="AC108" s="622"/>
      <c r="AD108" s="622"/>
      <c r="AE108" s="622"/>
      <c r="AF108" s="622"/>
      <c r="AG108" s="622"/>
      <c r="AH108" s="622"/>
    </row>
    <row r="109" spans="12:33" ht="14.25">
      <c r="L109">
        <v>1434830</v>
      </c>
      <c r="AF109" s="706" t="s">
        <v>324</v>
      </c>
      <c r="AG109">
        <v>140000</v>
      </c>
    </row>
    <row r="110" spans="12:33" ht="14.25">
      <c r="L110">
        <v>1054520</v>
      </c>
      <c r="AF110" s="654" t="s">
        <v>326</v>
      </c>
      <c r="AG110">
        <v>140000</v>
      </c>
    </row>
    <row r="111" spans="12:33" ht="14.25">
      <c r="L111">
        <v>1282100</v>
      </c>
      <c r="AF111" s="706" t="s">
        <v>328</v>
      </c>
      <c r="AG111">
        <v>140000</v>
      </c>
    </row>
    <row r="112" spans="12:33" ht="14.25">
      <c r="L112">
        <v>1580520</v>
      </c>
      <c r="AF112" s="654" t="s">
        <v>330</v>
      </c>
      <c r="AG112">
        <v>140000</v>
      </c>
    </row>
    <row r="113" spans="12:33" ht="14.25">
      <c r="L113">
        <v>1282100</v>
      </c>
      <c r="AF113" s="654" t="s">
        <v>331</v>
      </c>
      <c r="AG113">
        <v>140000</v>
      </c>
    </row>
    <row r="114" spans="12:33" ht="14.25">
      <c r="L114">
        <v>1282100</v>
      </c>
      <c r="AF114" s="654" t="s">
        <v>332</v>
      </c>
      <c r="AG114">
        <v>140000</v>
      </c>
    </row>
    <row r="115" spans="12:33" ht="14.25">
      <c r="L115">
        <v>1282100</v>
      </c>
      <c r="AF115" s="706" t="s">
        <v>333</v>
      </c>
      <c r="AG115">
        <v>140000</v>
      </c>
    </row>
    <row r="116" spans="12:33" ht="14.25">
      <c r="L116">
        <v>1282100</v>
      </c>
      <c r="AF116" s="706" t="s">
        <v>334</v>
      </c>
      <c r="AG116">
        <v>140000</v>
      </c>
    </row>
    <row r="117" spans="12:33" ht="14.25">
      <c r="L117">
        <v>1171570</v>
      </c>
      <c r="AF117" s="654" t="s">
        <v>394</v>
      </c>
      <c r="AG117">
        <v>140000</v>
      </c>
    </row>
    <row r="118" spans="12:33" ht="14.25">
      <c r="L118">
        <v>1319210</v>
      </c>
      <c r="AF118" s="654" t="s">
        <v>335</v>
      </c>
      <c r="AG118">
        <v>140000</v>
      </c>
    </row>
    <row r="119" spans="12:33" ht="14.25">
      <c r="L119">
        <v>1319210</v>
      </c>
      <c r="AF119" s="706" t="s">
        <v>336</v>
      </c>
      <c r="AG119">
        <v>140000</v>
      </c>
    </row>
    <row r="120" spans="12:33" ht="14.25">
      <c r="L120">
        <v>1319210</v>
      </c>
      <c r="AF120" s="654" t="s">
        <v>337</v>
      </c>
      <c r="AG120">
        <v>140000</v>
      </c>
    </row>
    <row r="121" spans="12:33" ht="14.25">
      <c r="L121">
        <v>1065780</v>
      </c>
      <c r="AF121" s="654" t="s">
        <v>395</v>
      </c>
      <c r="AG121">
        <v>140000</v>
      </c>
    </row>
    <row r="122" spans="12:33" ht="14.25">
      <c r="L122">
        <v>1065780</v>
      </c>
      <c r="AF122" s="654" t="s">
        <v>342</v>
      </c>
      <c r="AG122">
        <v>100000</v>
      </c>
    </row>
    <row r="123" spans="12:33" ht="14.25">
      <c r="L123">
        <v>725450</v>
      </c>
      <c r="AF123" s="706" t="s">
        <v>343</v>
      </c>
      <c r="AG123">
        <v>100000</v>
      </c>
    </row>
    <row r="124" spans="12:33" ht="14.25">
      <c r="L124">
        <v>745040</v>
      </c>
      <c r="AF124" s="654" t="s">
        <v>345</v>
      </c>
      <c r="AG124">
        <v>100000</v>
      </c>
    </row>
    <row r="125" spans="12:33" ht="14.25">
      <c r="L125">
        <v>923890</v>
      </c>
      <c r="AF125" s="654" t="s">
        <v>347</v>
      </c>
      <c r="AG125">
        <v>100000</v>
      </c>
    </row>
    <row r="126" spans="12:33" ht="14.25">
      <c r="L126">
        <v>796290</v>
      </c>
      <c r="AF126" s="654" t="s">
        <v>350</v>
      </c>
      <c r="AG126">
        <v>140000</v>
      </c>
    </row>
    <row r="127" spans="32:33" ht="14.25">
      <c r="AF127" s="654" t="s">
        <v>352</v>
      </c>
      <c r="AG127">
        <v>140000</v>
      </c>
    </row>
    <row r="128" spans="28:34" ht="18.75">
      <c r="AB128" s="210">
        <f>AB45/3</f>
        <v>1228043.3333333333</v>
      </c>
      <c r="AC128" s="210">
        <f>AC45/3</f>
        <v>2009546.6666666667</v>
      </c>
      <c r="AE128" s="210">
        <f>AE45/3</f>
        <v>1562976.6666666667</v>
      </c>
      <c r="AG128" s="738" t="s">
        <v>396</v>
      </c>
      <c r="AH128" s="739">
        <v>671880</v>
      </c>
    </row>
    <row r="129" spans="4:34" ht="18.75">
      <c r="D129" s="654" t="s">
        <v>324</v>
      </c>
      <c r="E129" s="654"/>
      <c r="F129" s="654">
        <v>10</v>
      </c>
      <c r="G129" s="659">
        <v>3913987.5</v>
      </c>
      <c r="AB129" s="210">
        <f>AB128+AC128</f>
        <v>3237590</v>
      </c>
      <c r="AF129" s="738">
        <v>12599940</v>
      </c>
      <c r="AG129" s="738" t="s">
        <v>397</v>
      </c>
      <c r="AH129" s="740">
        <f>AH45+AH128</f>
        <v>789715700</v>
      </c>
    </row>
    <row r="130" spans="4:32" ht="18.75">
      <c r="D130" s="681" t="s">
        <v>326</v>
      </c>
      <c r="E130" s="681"/>
      <c r="F130" s="681">
        <v>16</v>
      </c>
      <c r="G130" s="659">
        <v>3934499.1666666665</v>
      </c>
      <c r="AF130" s="738">
        <v>11928060</v>
      </c>
    </row>
    <row r="131" spans="4:32" ht="18.75">
      <c r="D131" s="654" t="s">
        <v>328</v>
      </c>
      <c r="E131" s="654"/>
      <c r="F131" s="654">
        <v>8</v>
      </c>
      <c r="G131" s="659">
        <v>2723992.5</v>
      </c>
      <c r="AF131" s="738">
        <f>AF129-AF130</f>
        <v>671880</v>
      </c>
    </row>
    <row r="132" spans="4:32" ht="14.25">
      <c r="D132" s="654" t="s">
        <v>330</v>
      </c>
      <c r="E132" s="654"/>
      <c r="F132" s="654">
        <v>4</v>
      </c>
      <c r="G132" s="659">
        <v>2538250.8333333335</v>
      </c>
      <c r="AF132">
        <f>SUM(AF129:AF131)</f>
        <v>25199880</v>
      </c>
    </row>
    <row r="133" spans="4:7" ht="14.25">
      <c r="D133" s="654" t="s">
        <v>331</v>
      </c>
      <c r="E133" s="654"/>
      <c r="F133" s="654">
        <v>11</v>
      </c>
      <c r="G133" s="659">
        <v>3180290.8333333335</v>
      </c>
    </row>
    <row r="134" spans="4:7" ht="14.25">
      <c r="D134" s="681" t="s">
        <v>332</v>
      </c>
      <c r="E134" s="681"/>
      <c r="F134" s="681">
        <v>5</v>
      </c>
      <c r="G134" s="659">
        <v>2503188.3333333335</v>
      </c>
    </row>
    <row r="135" spans="4:7" ht="14.25">
      <c r="D135" s="654" t="s">
        <v>333</v>
      </c>
      <c r="E135" s="654"/>
      <c r="F135" s="654">
        <v>4</v>
      </c>
      <c r="G135" s="659">
        <v>2479313.3333333335</v>
      </c>
    </row>
    <row r="136" spans="4:7" ht="14.25">
      <c r="D136" s="654" t="s">
        <v>334</v>
      </c>
      <c r="E136" s="654"/>
      <c r="F136" s="654">
        <v>4</v>
      </c>
      <c r="G136" s="659">
        <v>2487888.3333333335</v>
      </c>
    </row>
    <row r="137" spans="4:7" ht="14.25">
      <c r="D137" s="681" t="s">
        <v>335</v>
      </c>
      <c r="E137" s="681"/>
      <c r="F137" s="681">
        <v>2</v>
      </c>
      <c r="G137" s="659">
        <v>2198340</v>
      </c>
    </row>
    <row r="138" spans="4:7" ht="14.25">
      <c r="D138" s="654" t="s">
        <v>336</v>
      </c>
      <c r="E138" s="654"/>
      <c r="F138" s="654">
        <v>5</v>
      </c>
      <c r="G138" s="659">
        <v>2494862.222222222</v>
      </c>
    </row>
    <row r="139" spans="4:7" ht="14.25">
      <c r="D139" s="681" t="s">
        <v>337</v>
      </c>
      <c r="E139" s="681"/>
      <c r="F139" s="681">
        <v>5</v>
      </c>
      <c r="G139" s="659"/>
    </row>
    <row r="140" spans="4:7" ht="14.25">
      <c r="D140" s="681" t="s">
        <v>337</v>
      </c>
      <c r="E140" s="681"/>
      <c r="F140" s="681">
        <v>6</v>
      </c>
      <c r="G140" s="659">
        <v>2543281.8181818184</v>
      </c>
    </row>
    <row r="141" spans="4:7" ht="14.25">
      <c r="D141" s="708" t="s">
        <v>338</v>
      </c>
      <c r="E141" s="708"/>
      <c r="F141" s="654">
        <v>5</v>
      </c>
      <c r="G141" s="659">
        <v>2640096</v>
      </c>
    </row>
    <row r="142" spans="4:7" ht="14.25">
      <c r="D142" s="708" t="s">
        <v>398</v>
      </c>
      <c r="E142" s="708"/>
      <c r="F142" s="654">
        <v>5</v>
      </c>
      <c r="G142" s="669">
        <v>-2550000</v>
      </c>
    </row>
    <row r="143" spans="4:7" ht="14.25">
      <c r="D143" s="708" t="s">
        <v>398</v>
      </c>
      <c r="E143" s="708"/>
      <c r="F143" s="654">
        <v>5</v>
      </c>
      <c r="G143" s="669">
        <v>2550000</v>
      </c>
    </row>
    <row r="144" spans="4:7" ht="14.25">
      <c r="D144" s="681" t="s">
        <v>342</v>
      </c>
      <c r="E144" s="681"/>
      <c r="F144" s="681">
        <v>3</v>
      </c>
      <c r="G144" s="659">
        <v>2138820</v>
      </c>
    </row>
    <row r="145" spans="4:7" ht="14.25">
      <c r="D145" s="654" t="s">
        <v>343</v>
      </c>
      <c r="E145" s="654"/>
      <c r="F145" s="654">
        <v>2</v>
      </c>
      <c r="G145" s="659">
        <v>2180663.75</v>
      </c>
    </row>
    <row r="146" spans="4:7" ht="14.25">
      <c r="D146" s="654" t="s">
        <v>345</v>
      </c>
      <c r="E146" s="654"/>
      <c r="F146" s="654">
        <v>4</v>
      </c>
      <c r="G146" s="659">
        <v>1937414.5454545454</v>
      </c>
    </row>
    <row r="147" spans="4:7" ht="14.25">
      <c r="D147" s="654" t="s">
        <v>347</v>
      </c>
      <c r="E147" s="654"/>
      <c r="F147" s="654">
        <v>2</v>
      </c>
      <c r="G147" s="659">
        <v>1988602.5</v>
      </c>
    </row>
    <row r="148" spans="4:7" ht="14.25">
      <c r="D148" s="681" t="s">
        <v>350</v>
      </c>
      <c r="E148" s="681"/>
      <c r="F148" s="681">
        <v>6</v>
      </c>
      <c r="G148" s="659">
        <v>2064124.1666666667</v>
      </c>
    </row>
    <row r="149" spans="4:7" ht="14.25">
      <c r="D149" s="681" t="s">
        <v>352</v>
      </c>
      <c r="E149" s="681"/>
      <c r="F149" s="681">
        <v>1</v>
      </c>
      <c r="G149" s="659">
        <v>2105024.4444444445</v>
      </c>
    </row>
    <row r="150" spans="4:7" ht="14.25">
      <c r="D150" s="681" t="s">
        <v>352</v>
      </c>
      <c r="E150" s="681"/>
      <c r="F150" s="681">
        <v>2</v>
      </c>
      <c r="G150" s="659">
        <v>2105024.4444444445</v>
      </c>
    </row>
    <row r="151" ht="13.5">
      <c r="G151" s="210">
        <f>SUM(G129:G150)</f>
        <v>48157664.72474748</v>
      </c>
    </row>
    <row r="153" ht="14.25" thickBot="1"/>
    <row r="154" spans="1:36" ht="18.75">
      <c r="A154" s="1298" t="s">
        <v>399</v>
      </c>
      <c r="B154" s="1300" t="s">
        <v>400</v>
      </c>
      <c r="C154" s="1302" t="s">
        <v>401</v>
      </c>
      <c r="D154" s="1300" t="s">
        <v>402</v>
      </c>
      <c r="E154" s="24"/>
      <c r="F154" s="1300" t="s">
        <v>403</v>
      </c>
      <c r="G154" s="1300" t="s">
        <v>404</v>
      </c>
      <c r="H154" s="1300" t="s">
        <v>405</v>
      </c>
      <c r="I154" s="1305" t="s">
        <v>406</v>
      </c>
      <c r="J154" s="1287" t="s">
        <v>407</v>
      </c>
      <c r="K154" s="1287"/>
      <c r="L154" s="1287"/>
      <c r="M154" s="1287"/>
      <c r="N154" s="1287"/>
      <c r="O154" s="1288" t="s">
        <v>408</v>
      </c>
      <c r="P154" s="741"/>
      <c r="Q154" s="741"/>
      <c r="R154" s="741"/>
      <c r="S154" s="741"/>
      <c r="T154" s="1290" t="s">
        <v>409</v>
      </c>
      <c r="U154" s="742"/>
      <c r="V154" s="1290" t="s">
        <v>410</v>
      </c>
      <c r="W154" s="1292" t="s">
        <v>411</v>
      </c>
      <c r="X154" s="1287" t="s">
        <v>412</v>
      </c>
      <c r="Y154" s="1287"/>
      <c r="Z154" s="1287"/>
      <c r="AA154" s="1287"/>
      <c r="AB154" s="1287"/>
      <c r="AC154" s="1287"/>
      <c r="AD154" s="1287"/>
      <c r="AE154" s="1287"/>
      <c r="AF154" s="1287"/>
      <c r="AG154" s="1277" t="s">
        <v>303</v>
      </c>
      <c r="AH154" s="1279" t="s">
        <v>304</v>
      </c>
      <c r="AI154" s="1280"/>
      <c r="AJ154" s="773"/>
    </row>
    <row r="155" spans="1:36" ht="31.5">
      <c r="A155" s="1299"/>
      <c r="B155" s="1301"/>
      <c r="C155" s="1303"/>
      <c r="D155" s="1301"/>
      <c r="E155" s="425"/>
      <c r="F155" s="1301"/>
      <c r="G155" s="1301"/>
      <c r="H155" s="1301"/>
      <c r="I155" s="1306"/>
      <c r="J155" s="1283"/>
      <c r="K155" s="1283"/>
      <c r="L155" s="1283"/>
      <c r="M155" s="1283"/>
      <c r="N155" s="1283"/>
      <c r="O155" s="1289"/>
      <c r="P155" s="743"/>
      <c r="Q155" s="743"/>
      <c r="R155" s="743"/>
      <c r="S155" s="743"/>
      <c r="T155" s="1291"/>
      <c r="U155" s="744"/>
      <c r="V155" s="1291"/>
      <c r="W155" s="1293"/>
      <c r="X155" s="19">
        <v>0.0295</v>
      </c>
      <c r="Y155" s="19">
        <v>0.0655</v>
      </c>
      <c r="Z155" s="22">
        <v>0.045</v>
      </c>
      <c r="AA155" s="647"/>
      <c r="AB155" s="648">
        <v>0.0055</v>
      </c>
      <c r="AC155" s="19">
        <v>0.008</v>
      </c>
      <c r="AD155" s="648"/>
      <c r="AE155" s="19">
        <v>0.0078</v>
      </c>
      <c r="AF155" s="1278" t="s">
        <v>310</v>
      </c>
      <c r="AG155" s="1278"/>
      <c r="AH155" s="1281"/>
      <c r="AI155" s="1282"/>
      <c r="AJ155" s="773"/>
    </row>
    <row r="156" spans="1:36" ht="18.75">
      <c r="A156" s="1299"/>
      <c r="B156" s="1301"/>
      <c r="C156" s="1304"/>
      <c r="D156" s="1301"/>
      <c r="E156" s="425"/>
      <c r="F156" s="1301"/>
      <c r="G156" s="1301"/>
      <c r="H156" s="1301"/>
      <c r="I156" s="1306"/>
      <c r="J156" s="641" t="s">
        <v>311</v>
      </c>
      <c r="K156" s="641" t="s">
        <v>312</v>
      </c>
      <c r="L156" s="641" t="s">
        <v>313</v>
      </c>
      <c r="M156" s="641" t="s">
        <v>314</v>
      </c>
      <c r="N156" s="649" t="s">
        <v>315</v>
      </c>
      <c r="O156" s="1289"/>
      <c r="P156" s="743"/>
      <c r="Q156" s="743"/>
      <c r="R156" s="743"/>
      <c r="S156" s="743"/>
      <c r="T156" s="1291"/>
      <c r="U156" s="744"/>
      <c r="V156" s="1291"/>
      <c r="W156" s="1293"/>
      <c r="X156" s="425" t="s">
        <v>316</v>
      </c>
      <c r="Y156" s="425" t="s">
        <v>317</v>
      </c>
      <c r="Z156" s="425" t="s">
        <v>318</v>
      </c>
      <c r="AA156" s="652"/>
      <c r="AB156" s="652" t="s">
        <v>319</v>
      </c>
      <c r="AC156" s="425" t="s">
        <v>320</v>
      </c>
      <c r="AD156" s="652"/>
      <c r="AE156" s="425" t="s">
        <v>321</v>
      </c>
      <c r="AF156" s="1278"/>
      <c r="AG156" s="1278"/>
      <c r="AH156" s="1281"/>
      <c r="AI156" s="1282"/>
      <c r="AJ156" s="773"/>
    </row>
    <row r="157" spans="1:36" ht="14.25">
      <c r="A157" s="1265" t="s">
        <v>413</v>
      </c>
      <c r="B157" s="1268" t="s">
        <v>370</v>
      </c>
      <c r="C157" s="745" t="s">
        <v>414</v>
      </c>
      <c r="D157" s="1284" t="s">
        <v>337</v>
      </c>
      <c r="E157" s="746"/>
      <c r="F157" s="655">
        <v>5</v>
      </c>
      <c r="G157" s="655">
        <v>1755000</v>
      </c>
      <c r="H157" s="655">
        <v>3</v>
      </c>
      <c r="I157" s="669">
        <f>G157*H157</f>
        <v>5265000</v>
      </c>
      <c r="J157" s="656">
        <f>G157*0.6</f>
        <v>1053000</v>
      </c>
      <c r="K157" s="669"/>
      <c r="L157" s="656">
        <f>705350+694160+747550</f>
        <v>2147060</v>
      </c>
      <c r="M157" s="669"/>
      <c r="N157" s="669">
        <f aca="true" t="shared" si="32" ref="N157:N183">SUM(J157:M157)</f>
        <v>3200060</v>
      </c>
      <c r="O157" s="669">
        <f>I157+N157</f>
        <v>8465060</v>
      </c>
      <c r="P157" s="669"/>
      <c r="Q157" s="669"/>
      <c r="R157" s="669"/>
      <c r="S157" s="669"/>
      <c r="T157" s="669"/>
      <c r="U157" s="669"/>
      <c r="V157" s="669"/>
      <c r="W157" s="669"/>
      <c r="X157" s="669">
        <v>225670</v>
      </c>
      <c r="Y157" s="669">
        <v>14780</v>
      </c>
      <c r="Z157" s="669">
        <v>344250</v>
      </c>
      <c r="AA157" s="669">
        <v>2550000</v>
      </c>
      <c r="AB157" s="669">
        <v>42070</v>
      </c>
      <c r="AC157" s="669">
        <v>61200</v>
      </c>
      <c r="AD157" s="669">
        <v>2550000</v>
      </c>
      <c r="AE157" s="669">
        <v>59670</v>
      </c>
      <c r="AF157" s="669">
        <v>705570</v>
      </c>
      <c r="AG157" s="725">
        <v>734680</v>
      </c>
      <c r="AH157" s="747">
        <f>O157+AF157+AG157</f>
        <v>9905310</v>
      </c>
      <c r="AI157" s="748"/>
      <c r="AJ157" s="133"/>
    </row>
    <row r="158" spans="1:36" ht="14.25">
      <c r="A158" s="1266"/>
      <c r="B158" s="1269"/>
      <c r="C158" s="745" t="s">
        <v>415</v>
      </c>
      <c r="D158" s="1285"/>
      <c r="E158" s="749"/>
      <c r="F158" s="750">
        <v>6</v>
      </c>
      <c r="G158" s="750">
        <v>1860000</v>
      </c>
      <c r="H158" s="750">
        <v>3</v>
      </c>
      <c r="I158" s="751">
        <f>G158*H158</f>
        <v>5580000</v>
      </c>
      <c r="J158" s="751">
        <f>G158*0.6</f>
        <v>1116000</v>
      </c>
      <c r="K158" s="751"/>
      <c r="L158" s="752">
        <f>ROUNDDOWN((G158*56/209*1.5)+(G158*52/209*1.5)+(G158*56/209*1.5),-1)</f>
        <v>2189280</v>
      </c>
      <c r="M158" s="752"/>
      <c r="N158" s="752">
        <f t="shared" si="32"/>
        <v>3305280</v>
      </c>
      <c r="O158" s="752">
        <f>I158+N158</f>
        <v>8885280</v>
      </c>
      <c r="P158" s="752"/>
      <c r="Q158" s="752"/>
      <c r="R158" s="752"/>
      <c r="S158" s="752"/>
      <c r="T158" s="751"/>
      <c r="U158" s="751"/>
      <c r="V158" s="751"/>
      <c r="W158" s="751"/>
      <c r="X158" s="751">
        <f>X157</f>
        <v>225670</v>
      </c>
      <c r="Y158" s="751">
        <f aca="true" t="shared" si="33" ref="Y158:AF158">Y157</f>
        <v>14780</v>
      </c>
      <c r="Z158" s="751">
        <f t="shared" si="33"/>
        <v>344250</v>
      </c>
      <c r="AA158" s="751">
        <f t="shared" si="33"/>
        <v>2550000</v>
      </c>
      <c r="AB158" s="751">
        <f t="shared" si="33"/>
        <v>42070</v>
      </c>
      <c r="AC158" s="751">
        <f t="shared" si="33"/>
        <v>61200</v>
      </c>
      <c r="AD158" s="751">
        <f t="shared" si="33"/>
        <v>2550000</v>
      </c>
      <c r="AE158" s="751">
        <f t="shared" si="33"/>
        <v>59670</v>
      </c>
      <c r="AF158" s="751">
        <f t="shared" si="33"/>
        <v>705570</v>
      </c>
      <c r="AG158" s="753" t="e">
        <f>INT(((O158+#REF!)/12)/100)*100</f>
        <v>#REF!</v>
      </c>
      <c r="AH158" s="754" t="e">
        <f>O158+AF158+AG158</f>
        <v>#REF!</v>
      </c>
      <c r="AI158" s="748"/>
      <c r="AJ158" s="133"/>
    </row>
    <row r="159" spans="1:36" ht="14.25">
      <c r="A159" s="1266"/>
      <c r="B159" s="1269"/>
      <c r="C159" s="745" t="s">
        <v>414</v>
      </c>
      <c r="D159" s="1284" t="s">
        <v>338</v>
      </c>
      <c r="E159" s="746"/>
      <c r="F159" s="655">
        <v>5</v>
      </c>
      <c r="G159" s="655">
        <v>1755000</v>
      </c>
      <c r="H159" s="655">
        <v>3</v>
      </c>
      <c r="I159" s="669">
        <f>G159*H159</f>
        <v>5265000</v>
      </c>
      <c r="J159" s="656">
        <f>G159*0.6</f>
        <v>1053000</v>
      </c>
      <c r="K159" s="669"/>
      <c r="L159" s="656">
        <f>705350+654970+705350</f>
        <v>2065670</v>
      </c>
      <c r="M159" s="669"/>
      <c r="N159" s="669">
        <f t="shared" si="32"/>
        <v>3118670</v>
      </c>
      <c r="O159" s="669">
        <f>I159+N159</f>
        <v>8383670</v>
      </c>
      <c r="P159" s="669"/>
      <c r="Q159" s="669"/>
      <c r="R159" s="669"/>
      <c r="S159" s="669"/>
      <c r="T159" s="669"/>
      <c r="U159" s="669"/>
      <c r="V159" s="669"/>
      <c r="W159" s="669"/>
      <c r="X159" s="669">
        <v>225670</v>
      </c>
      <c r="Y159" s="669">
        <v>14780</v>
      </c>
      <c r="Z159" s="669">
        <v>344250</v>
      </c>
      <c r="AA159" s="669">
        <v>2550000</v>
      </c>
      <c r="AB159" s="669">
        <v>42070</v>
      </c>
      <c r="AC159" s="669">
        <v>61200</v>
      </c>
      <c r="AD159" s="669">
        <v>2550000</v>
      </c>
      <c r="AE159" s="669">
        <v>59670</v>
      </c>
      <c r="AF159" s="669">
        <v>705570</v>
      </c>
      <c r="AG159" s="755">
        <v>734680</v>
      </c>
      <c r="AH159" s="747">
        <f>O159+AF159+AG159</f>
        <v>9823920</v>
      </c>
      <c r="AI159" s="748"/>
      <c r="AJ159" s="133"/>
    </row>
    <row r="160" spans="1:36" ht="14.25">
      <c r="A160" s="1266"/>
      <c r="B160" s="1269"/>
      <c r="C160" s="756" t="s">
        <v>415</v>
      </c>
      <c r="D160" s="1286"/>
      <c r="E160" s="757"/>
      <c r="F160" s="750">
        <v>7</v>
      </c>
      <c r="G160" s="750">
        <v>1907000</v>
      </c>
      <c r="H160" s="750">
        <v>3</v>
      </c>
      <c r="I160" s="751">
        <f>G160*H160</f>
        <v>5721000</v>
      </c>
      <c r="J160" s="751">
        <f>G160*0.6</f>
        <v>1144200</v>
      </c>
      <c r="K160" s="751"/>
      <c r="L160" s="751">
        <f>ROUNDDOWN((G160*56/209*1.5)+(G160*52/209*1.5)+(G160*56/209*1.5),-1)</f>
        <v>2244600</v>
      </c>
      <c r="M160" s="751"/>
      <c r="N160" s="751">
        <f t="shared" si="32"/>
        <v>3388800</v>
      </c>
      <c r="O160" s="751">
        <f>I160+N160</f>
        <v>9109800</v>
      </c>
      <c r="P160" s="751"/>
      <c r="Q160" s="751"/>
      <c r="R160" s="751"/>
      <c r="S160" s="751"/>
      <c r="T160" s="751"/>
      <c r="U160" s="751"/>
      <c r="V160" s="751"/>
      <c r="W160" s="751"/>
      <c r="X160" s="751">
        <f>X159</f>
        <v>225670</v>
      </c>
      <c r="Y160" s="751">
        <f aca="true" t="shared" si="34" ref="Y160:AE160">Y159</f>
        <v>14780</v>
      </c>
      <c r="Z160" s="751">
        <f t="shared" si="34"/>
        <v>344250</v>
      </c>
      <c r="AA160" s="751">
        <f t="shared" si="34"/>
        <v>2550000</v>
      </c>
      <c r="AB160" s="751">
        <f t="shared" si="34"/>
        <v>42070</v>
      </c>
      <c r="AC160" s="751">
        <f t="shared" si="34"/>
        <v>61200</v>
      </c>
      <c r="AD160" s="751">
        <f t="shared" si="34"/>
        <v>2550000</v>
      </c>
      <c r="AE160" s="751">
        <f t="shared" si="34"/>
        <v>59670</v>
      </c>
      <c r="AF160" s="751">
        <f>SUM(X160,Y160,Z160,AC160,AE160)</f>
        <v>705570</v>
      </c>
      <c r="AG160" s="753" t="e">
        <f>INT(((O160+#REF!)/12)/100)*100</f>
        <v>#REF!</v>
      </c>
      <c r="AH160" s="754" t="e">
        <f>O160+AF160+AG160</f>
        <v>#REF!</v>
      </c>
      <c r="AI160" s="748"/>
      <c r="AJ160" s="133"/>
    </row>
    <row r="161" spans="1:36" ht="14.25">
      <c r="A161" s="1251" t="s">
        <v>416</v>
      </c>
      <c r="B161" s="1252"/>
      <c r="C161" s="1252"/>
      <c r="D161" s="1252"/>
      <c r="E161" s="1252"/>
      <c r="F161" s="1252"/>
      <c r="G161" s="1253"/>
      <c r="H161" s="758"/>
      <c r="I161" s="659">
        <f>(I160+I158)-(I157+I159)</f>
        <v>771000</v>
      </c>
      <c r="J161" s="659">
        <f aca="true" t="shared" si="35" ref="J161:AH161">(J160+J158)-(J157+J159)</f>
        <v>154200</v>
      </c>
      <c r="K161" s="659">
        <f t="shared" si="35"/>
        <v>0</v>
      </c>
      <c r="L161" s="659">
        <f t="shared" si="35"/>
        <v>221150</v>
      </c>
      <c r="M161" s="659">
        <f t="shared" si="35"/>
        <v>0</v>
      </c>
      <c r="N161" s="659">
        <f t="shared" si="35"/>
        <v>375350</v>
      </c>
      <c r="O161" s="659">
        <f t="shared" si="35"/>
        <v>1146350</v>
      </c>
      <c r="P161" s="659"/>
      <c r="Q161" s="659"/>
      <c r="R161" s="659"/>
      <c r="S161" s="659"/>
      <c r="T161" s="659">
        <f t="shared" si="35"/>
        <v>0</v>
      </c>
      <c r="U161" s="659"/>
      <c r="V161" s="659">
        <f t="shared" si="35"/>
        <v>0</v>
      </c>
      <c r="W161" s="659">
        <f t="shared" si="35"/>
        <v>0</v>
      </c>
      <c r="X161" s="659">
        <f t="shared" si="35"/>
        <v>0</v>
      </c>
      <c r="Y161" s="659">
        <f t="shared" si="35"/>
        <v>0</v>
      </c>
      <c r="Z161" s="659">
        <f t="shared" si="35"/>
        <v>0</v>
      </c>
      <c r="AA161" s="659">
        <f t="shared" si="35"/>
        <v>0</v>
      </c>
      <c r="AB161" s="659">
        <f t="shared" si="35"/>
        <v>0</v>
      </c>
      <c r="AC161" s="659">
        <f t="shared" si="35"/>
        <v>0</v>
      </c>
      <c r="AD161" s="659">
        <f t="shared" si="35"/>
        <v>0</v>
      </c>
      <c r="AE161" s="659">
        <f t="shared" si="35"/>
        <v>0</v>
      </c>
      <c r="AF161" s="659">
        <f t="shared" si="35"/>
        <v>0</v>
      </c>
      <c r="AG161" s="659" t="e">
        <f t="shared" si="35"/>
        <v>#REF!</v>
      </c>
      <c r="AH161" s="659" t="e">
        <f t="shared" si="35"/>
        <v>#REF!</v>
      </c>
      <c r="AI161" s="748"/>
      <c r="AJ161" s="133"/>
    </row>
    <row r="162" spans="1:36" ht="14.25">
      <c r="A162" s="1265" t="s">
        <v>417</v>
      </c>
      <c r="B162" s="1268" t="s">
        <v>370</v>
      </c>
      <c r="C162" s="1271" t="s">
        <v>414</v>
      </c>
      <c r="D162" s="1271" t="s">
        <v>379</v>
      </c>
      <c r="E162" s="756"/>
      <c r="F162" s="725">
        <v>5</v>
      </c>
      <c r="G162" s="725">
        <v>105000</v>
      </c>
      <c r="H162" s="725">
        <v>2</v>
      </c>
      <c r="I162" s="725">
        <v>210000</v>
      </c>
      <c r="J162" s="725"/>
      <c r="K162" s="725"/>
      <c r="L162" s="725">
        <v>82890</v>
      </c>
      <c r="M162" s="725"/>
      <c r="N162" s="669">
        <f t="shared" si="32"/>
        <v>82890</v>
      </c>
      <c r="O162" s="669">
        <f aca="true" t="shared" si="36" ref="O162:O183">I162+N162</f>
        <v>292890</v>
      </c>
      <c r="P162" s="669"/>
      <c r="Q162" s="669"/>
      <c r="R162" s="669"/>
      <c r="S162" s="669"/>
      <c r="T162" s="725"/>
      <c r="U162" s="725"/>
      <c r="V162" s="725"/>
      <c r="W162" s="725"/>
      <c r="X162" s="725"/>
      <c r="Y162" s="725"/>
      <c r="Z162" s="725"/>
      <c r="AA162" s="725">
        <v>0</v>
      </c>
      <c r="AB162" s="725">
        <v>0</v>
      </c>
      <c r="AC162" s="725"/>
      <c r="AD162" s="725">
        <v>0</v>
      </c>
      <c r="AE162" s="725"/>
      <c r="AF162" s="725"/>
      <c r="AG162" s="725">
        <v>24400</v>
      </c>
      <c r="AH162" s="747">
        <f aca="true" t="shared" si="37" ref="AH162:AH168">O162+AF162+AG162</f>
        <v>317290</v>
      </c>
      <c r="AI162" s="748"/>
      <c r="AJ162" s="133"/>
    </row>
    <row r="163" spans="1:36" ht="14.25">
      <c r="A163" s="1266"/>
      <c r="B163" s="1269"/>
      <c r="C163" s="1272"/>
      <c r="D163" s="1273"/>
      <c r="E163" s="759"/>
      <c r="F163" s="725">
        <v>6</v>
      </c>
      <c r="G163" s="725">
        <v>1860000</v>
      </c>
      <c r="H163" s="725">
        <v>3</v>
      </c>
      <c r="I163" s="725">
        <v>5580000</v>
      </c>
      <c r="J163" s="725"/>
      <c r="K163" s="725"/>
      <c r="L163" s="725">
        <f>694160+694160+694160</f>
        <v>2082480</v>
      </c>
      <c r="M163" s="725"/>
      <c r="N163" s="669">
        <f t="shared" si="32"/>
        <v>2082480</v>
      </c>
      <c r="O163" s="669">
        <f t="shared" si="36"/>
        <v>7662480</v>
      </c>
      <c r="P163" s="669"/>
      <c r="Q163" s="669"/>
      <c r="R163" s="669"/>
      <c r="S163" s="669"/>
      <c r="T163" s="725"/>
      <c r="U163" s="725"/>
      <c r="V163" s="725"/>
      <c r="W163" s="725"/>
      <c r="X163" s="725">
        <v>256650</v>
      </c>
      <c r="Y163" s="725">
        <v>16810</v>
      </c>
      <c r="Z163" s="725">
        <v>344250</v>
      </c>
      <c r="AA163" s="725">
        <v>2900000</v>
      </c>
      <c r="AB163" s="725">
        <v>47850</v>
      </c>
      <c r="AC163" s="725">
        <v>69600</v>
      </c>
      <c r="AD163" s="725">
        <v>2550000</v>
      </c>
      <c r="AE163" s="725">
        <v>59670</v>
      </c>
      <c r="AF163" s="725">
        <v>746980</v>
      </c>
      <c r="AG163" s="725">
        <v>683550</v>
      </c>
      <c r="AH163" s="747">
        <f t="shared" si="37"/>
        <v>9093010</v>
      </c>
      <c r="AI163" s="748"/>
      <c r="AJ163" s="133"/>
    </row>
    <row r="164" spans="1:36" ht="14.25">
      <c r="A164" s="1266"/>
      <c r="B164" s="1269"/>
      <c r="C164" s="745" t="s">
        <v>415</v>
      </c>
      <c r="D164" s="1272"/>
      <c r="E164" s="760"/>
      <c r="F164" s="753">
        <v>7</v>
      </c>
      <c r="G164" s="753">
        <v>1907000</v>
      </c>
      <c r="H164" s="753">
        <v>3</v>
      </c>
      <c r="I164" s="751">
        <f>G164*H164</f>
        <v>5721000</v>
      </c>
      <c r="J164" s="753"/>
      <c r="K164" s="753"/>
      <c r="L164" s="751">
        <f>ROUNDDOWN((G164*52/209*1.5)+(G164*52/209*1.5)+(G164*52/209*1.5),-1)</f>
        <v>2135110</v>
      </c>
      <c r="M164" s="753"/>
      <c r="N164" s="751">
        <f t="shared" si="32"/>
        <v>2135110</v>
      </c>
      <c r="O164" s="751">
        <f t="shared" si="36"/>
        <v>7856110</v>
      </c>
      <c r="P164" s="751"/>
      <c r="Q164" s="751"/>
      <c r="R164" s="751"/>
      <c r="S164" s="751"/>
      <c r="T164" s="753"/>
      <c r="U164" s="753"/>
      <c r="V164" s="753"/>
      <c r="W164" s="753"/>
      <c r="X164" s="751">
        <f>X163</f>
        <v>256650</v>
      </c>
      <c r="Y164" s="751">
        <f aca="true" t="shared" si="38" ref="Y164:AF164">Y163</f>
        <v>16810</v>
      </c>
      <c r="Z164" s="751">
        <f t="shared" si="38"/>
        <v>344250</v>
      </c>
      <c r="AA164" s="751">
        <f t="shared" si="38"/>
        <v>2900000</v>
      </c>
      <c r="AB164" s="751">
        <f t="shared" si="38"/>
        <v>47850</v>
      </c>
      <c r="AC164" s="751">
        <f t="shared" si="38"/>
        <v>69600</v>
      </c>
      <c r="AD164" s="751">
        <f t="shared" si="38"/>
        <v>2550000</v>
      </c>
      <c r="AE164" s="751">
        <f t="shared" si="38"/>
        <v>59670</v>
      </c>
      <c r="AF164" s="751">
        <f t="shared" si="38"/>
        <v>746980</v>
      </c>
      <c r="AG164" s="753" t="e">
        <f>INT(((O164+#REF!)/12)/100)*100</f>
        <v>#REF!</v>
      </c>
      <c r="AH164" s="754" t="e">
        <f t="shared" si="37"/>
        <v>#REF!</v>
      </c>
      <c r="AI164" s="748"/>
      <c r="AJ164" s="133"/>
    </row>
    <row r="165" spans="1:36" ht="14.25">
      <c r="A165" s="1266"/>
      <c r="B165" s="1269"/>
      <c r="C165" s="745" t="s">
        <v>414</v>
      </c>
      <c r="D165" s="1271" t="s">
        <v>418</v>
      </c>
      <c r="E165" s="756"/>
      <c r="F165" s="725">
        <v>5</v>
      </c>
      <c r="G165" s="725">
        <v>1755000</v>
      </c>
      <c r="H165" s="725">
        <v>3</v>
      </c>
      <c r="I165" s="725">
        <v>5265000</v>
      </c>
      <c r="J165" s="725"/>
      <c r="K165" s="725"/>
      <c r="L165" s="725">
        <f>654970+654970+654970</f>
        <v>1964910</v>
      </c>
      <c r="M165" s="725"/>
      <c r="N165" s="669">
        <f t="shared" si="32"/>
        <v>1964910</v>
      </c>
      <c r="O165" s="669">
        <f t="shared" si="36"/>
        <v>7229910</v>
      </c>
      <c r="P165" s="669"/>
      <c r="Q165" s="669"/>
      <c r="R165" s="669"/>
      <c r="S165" s="669"/>
      <c r="T165" s="725"/>
      <c r="U165" s="725"/>
      <c r="V165" s="725"/>
      <c r="W165" s="725"/>
      <c r="X165" s="725">
        <v>252220</v>
      </c>
      <c r="Y165" s="725">
        <v>16520</v>
      </c>
      <c r="Z165" s="725">
        <v>344250</v>
      </c>
      <c r="AA165" s="725">
        <v>2850000</v>
      </c>
      <c r="AB165" s="725">
        <v>47020</v>
      </c>
      <c r="AC165" s="725">
        <v>68400</v>
      </c>
      <c r="AD165" s="725">
        <v>2550000</v>
      </c>
      <c r="AE165" s="725">
        <v>59670</v>
      </c>
      <c r="AF165" s="725">
        <v>741060</v>
      </c>
      <c r="AG165" s="725">
        <v>646940</v>
      </c>
      <c r="AH165" s="747">
        <f t="shared" si="37"/>
        <v>8617910</v>
      </c>
      <c r="AI165" s="748"/>
      <c r="AJ165" s="133"/>
    </row>
    <row r="166" spans="1:36" ht="14.25">
      <c r="A166" s="1266"/>
      <c r="B166" s="1269"/>
      <c r="C166" s="745" t="s">
        <v>415</v>
      </c>
      <c r="D166" s="1272"/>
      <c r="E166" s="760"/>
      <c r="F166" s="753">
        <v>8</v>
      </c>
      <c r="G166" s="753">
        <v>1969000</v>
      </c>
      <c r="H166" s="753">
        <v>3</v>
      </c>
      <c r="I166" s="751">
        <f>G166*H166</f>
        <v>5907000</v>
      </c>
      <c r="J166" s="753"/>
      <c r="K166" s="753"/>
      <c r="L166" s="751">
        <f>ROUNDDOWN((G166*52/209*1.5)+(G166*52/209*1.5)+(G166*52/209*1.5),-1)</f>
        <v>2204520</v>
      </c>
      <c r="M166" s="753"/>
      <c r="N166" s="751">
        <f t="shared" si="32"/>
        <v>2204520</v>
      </c>
      <c r="O166" s="751">
        <f t="shared" si="36"/>
        <v>8111520</v>
      </c>
      <c r="P166" s="751"/>
      <c r="Q166" s="751"/>
      <c r="R166" s="751"/>
      <c r="S166" s="751"/>
      <c r="T166" s="753"/>
      <c r="U166" s="753"/>
      <c r="V166" s="753"/>
      <c r="W166" s="753"/>
      <c r="X166" s="751">
        <f>X165</f>
        <v>252220</v>
      </c>
      <c r="Y166" s="751">
        <f aca="true" t="shared" si="39" ref="Y166:AF166">Y165</f>
        <v>16520</v>
      </c>
      <c r="Z166" s="751">
        <f t="shared" si="39"/>
        <v>344250</v>
      </c>
      <c r="AA166" s="751">
        <f t="shared" si="39"/>
        <v>2850000</v>
      </c>
      <c r="AB166" s="751">
        <f t="shared" si="39"/>
        <v>47020</v>
      </c>
      <c r="AC166" s="751">
        <f t="shared" si="39"/>
        <v>68400</v>
      </c>
      <c r="AD166" s="751">
        <f t="shared" si="39"/>
        <v>2550000</v>
      </c>
      <c r="AE166" s="751">
        <f t="shared" si="39"/>
        <v>59670</v>
      </c>
      <c r="AF166" s="751">
        <f t="shared" si="39"/>
        <v>741060</v>
      </c>
      <c r="AG166" s="753" t="e">
        <f>INT(((O166+#REF!)/12)/100)*100</f>
        <v>#REF!</v>
      </c>
      <c r="AH166" s="754" t="e">
        <f t="shared" si="37"/>
        <v>#REF!</v>
      </c>
      <c r="AI166" s="748"/>
      <c r="AJ166" s="133"/>
    </row>
    <row r="167" spans="1:36" ht="14.25">
      <c r="A167" s="1266"/>
      <c r="B167" s="1269"/>
      <c r="C167" s="745" t="s">
        <v>414</v>
      </c>
      <c r="D167" s="1271" t="s">
        <v>419</v>
      </c>
      <c r="E167" s="756"/>
      <c r="F167" s="725">
        <v>5</v>
      </c>
      <c r="G167" s="725">
        <v>1755000</v>
      </c>
      <c r="H167" s="725">
        <v>3</v>
      </c>
      <c r="I167" s="724">
        <v>5265000</v>
      </c>
      <c r="J167" s="725"/>
      <c r="L167" s="725">
        <f>654970+705350+654970</f>
        <v>2015290</v>
      </c>
      <c r="M167" s="725"/>
      <c r="N167" s="669">
        <f t="shared" si="32"/>
        <v>2015290</v>
      </c>
      <c r="O167" s="669">
        <f t="shared" si="36"/>
        <v>7280290</v>
      </c>
      <c r="P167" s="669"/>
      <c r="Q167" s="669"/>
      <c r="R167" s="669"/>
      <c r="S167" s="669"/>
      <c r="T167" s="725"/>
      <c r="U167" s="725"/>
      <c r="V167" s="725"/>
      <c r="W167" s="725"/>
      <c r="X167" s="725">
        <v>225670</v>
      </c>
      <c r="Y167" s="725">
        <v>14780</v>
      </c>
      <c r="Z167" s="725">
        <v>344250</v>
      </c>
      <c r="AA167" s="725">
        <v>2550000</v>
      </c>
      <c r="AB167" s="725">
        <v>42070</v>
      </c>
      <c r="AC167" s="725">
        <v>61200</v>
      </c>
      <c r="AD167" s="725">
        <v>2550000</v>
      </c>
      <c r="AE167" s="725">
        <v>59670</v>
      </c>
      <c r="AF167" s="725">
        <v>705570</v>
      </c>
      <c r="AG167" s="725">
        <v>646940</v>
      </c>
      <c r="AH167" s="747">
        <f t="shared" si="37"/>
        <v>8632800</v>
      </c>
      <c r="AI167" s="748"/>
      <c r="AJ167" s="133"/>
    </row>
    <row r="168" spans="1:36" ht="14.25">
      <c r="A168" s="1267"/>
      <c r="B168" s="1270"/>
      <c r="C168" s="745" t="s">
        <v>415</v>
      </c>
      <c r="D168" s="1272"/>
      <c r="E168" s="759"/>
      <c r="F168" s="761">
        <v>6</v>
      </c>
      <c r="G168" s="753">
        <v>1860000</v>
      </c>
      <c r="H168" s="753">
        <v>3</v>
      </c>
      <c r="I168" s="751">
        <f>G168*H168</f>
        <v>5580000</v>
      </c>
      <c r="J168" s="753"/>
      <c r="K168" s="753"/>
      <c r="L168" s="751">
        <f>ROUNDDOWN((G168*52/209*1.5)+(G168*56/209*1.5)+(G168*52/209*1.5),-1)</f>
        <v>2135880</v>
      </c>
      <c r="M168" s="753"/>
      <c r="N168" s="751">
        <f t="shared" si="32"/>
        <v>2135880</v>
      </c>
      <c r="O168" s="751">
        <f t="shared" si="36"/>
        <v>7715880</v>
      </c>
      <c r="P168" s="751"/>
      <c r="Q168" s="751"/>
      <c r="R168" s="751"/>
      <c r="S168" s="751"/>
      <c r="T168" s="753"/>
      <c r="U168" s="753"/>
      <c r="V168" s="753"/>
      <c r="W168" s="753"/>
      <c r="X168" s="751">
        <f>X167</f>
        <v>225670</v>
      </c>
      <c r="Y168" s="751">
        <f aca="true" t="shared" si="40" ref="Y168:AF168">Y167</f>
        <v>14780</v>
      </c>
      <c r="Z168" s="751">
        <f t="shared" si="40"/>
        <v>344250</v>
      </c>
      <c r="AA168" s="751">
        <f t="shared" si="40"/>
        <v>2550000</v>
      </c>
      <c r="AB168" s="751">
        <f t="shared" si="40"/>
        <v>42070</v>
      </c>
      <c r="AC168" s="751">
        <f t="shared" si="40"/>
        <v>61200</v>
      </c>
      <c r="AD168" s="751">
        <f t="shared" si="40"/>
        <v>2550000</v>
      </c>
      <c r="AE168" s="751">
        <f t="shared" si="40"/>
        <v>59670</v>
      </c>
      <c r="AF168" s="751">
        <f t="shared" si="40"/>
        <v>705570</v>
      </c>
      <c r="AG168" s="753" t="e">
        <f>INT(((O168+#REF!)/12)/100)*100</f>
        <v>#REF!</v>
      </c>
      <c r="AH168" s="754" t="e">
        <f t="shared" si="37"/>
        <v>#REF!</v>
      </c>
      <c r="AI168" s="748"/>
      <c r="AJ168" s="133"/>
    </row>
    <row r="169" spans="1:36" ht="14.25">
      <c r="A169" s="1251" t="s">
        <v>420</v>
      </c>
      <c r="B169" s="1252"/>
      <c r="C169" s="1252"/>
      <c r="D169" s="1252"/>
      <c r="E169" s="1252"/>
      <c r="F169" s="1252"/>
      <c r="G169" s="1253"/>
      <c r="H169" s="758"/>
      <c r="I169" s="660">
        <f>(I164+I166+I168)-(I162+I163+I165+I167)</f>
        <v>888000</v>
      </c>
      <c r="J169" s="660">
        <f>(J164+J166+J168)-(J162+J163+J165+J167)</f>
        <v>0</v>
      </c>
      <c r="K169" s="660">
        <f>(K164+K166+K168)-(K162+K163+K165+K167)</f>
        <v>0</v>
      </c>
      <c r="L169" s="660">
        <f>(L164+L166+L168)-(L162+L163+L165+L167)</f>
        <v>329940</v>
      </c>
      <c r="M169" s="660">
        <f>(M164+M166+M168)-(M162+M163+M165+M167)</f>
        <v>0</v>
      </c>
      <c r="N169" s="659">
        <f t="shared" si="32"/>
        <v>329940</v>
      </c>
      <c r="O169" s="659">
        <f t="shared" si="36"/>
        <v>1217940</v>
      </c>
      <c r="P169" s="659"/>
      <c r="Q169" s="659"/>
      <c r="R169" s="659"/>
      <c r="S169" s="659"/>
      <c r="T169" s="660"/>
      <c r="U169" s="660"/>
      <c r="V169" s="660"/>
      <c r="W169" s="660"/>
      <c r="X169" s="660">
        <f aca="true" t="shared" si="41" ref="X169:AH169">(X164+X166+X168)-(X162+X163+X165+X167)</f>
        <v>0</v>
      </c>
      <c r="Y169" s="660">
        <f t="shared" si="41"/>
        <v>0</v>
      </c>
      <c r="Z169" s="660">
        <f t="shared" si="41"/>
        <v>0</v>
      </c>
      <c r="AA169" s="660">
        <f t="shared" si="41"/>
        <v>0</v>
      </c>
      <c r="AB169" s="660">
        <f t="shared" si="41"/>
        <v>0</v>
      </c>
      <c r="AC169" s="660">
        <f t="shared" si="41"/>
        <v>0</v>
      </c>
      <c r="AD169" s="660">
        <f t="shared" si="41"/>
        <v>0</v>
      </c>
      <c r="AE169" s="660">
        <f t="shared" si="41"/>
        <v>0</v>
      </c>
      <c r="AF169" s="660">
        <f t="shared" si="41"/>
        <v>0</v>
      </c>
      <c r="AG169" s="660" t="e">
        <f t="shared" si="41"/>
        <v>#REF!</v>
      </c>
      <c r="AH169" s="660" t="e">
        <f t="shared" si="41"/>
        <v>#REF!</v>
      </c>
      <c r="AI169" s="748"/>
      <c r="AJ169" s="133"/>
    </row>
    <row r="170" spans="1:36" ht="14.25">
      <c r="A170" s="1265" t="s">
        <v>421</v>
      </c>
      <c r="B170" s="1274" t="s">
        <v>370</v>
      </c>
      <c r="C170" s="745" t="s">
        <v>414</v>
      </c>
      <c r="D170" s="1271" t="s">
        <v>379</v>
      </c>
      <c r="E170" s="756"/>
      <c r="F170" s="725">
        <v>6</v>
      </c>
      <c r="G170" s="725">
        <v>1860000</v>
      </c>
      <c r="H170" s="725">
        <v>3</v>
      </c>
      <c r="I170" s="725">
        <v>5580000</v>
      </c>
      <c r="J170" s="725">
        <v>1116000</v>
      </c>
      <c r="K170" s="725"/>
      <c r="L170" s="725">
        <f>747550+694160+694160</f>
        <v>2135870</v>
      </c>
      <c r="M170" s="725"/>
      <c r="N170" s="669">
        <f t="shared" si="32"/>
        <v>3251870</v>
      </c>
      <c r="O170" s="669">
        <f t="shared" si="36"/>
        <v>8831870</v>
      </c>
      <c r="P170" s="669"/>
      <c r="Q170" s="669"/>
      <c r="R170" s="669"/>
      <c r="S170" s="669"/>
      <c r="T170" s="725"/>
      <c r="U170" s="725"/>
      <c r="V170" s="725"/>
      <c r="W170" s="725"/>
      <c r="X170" s="725">
        <v>256650</v>
      </c>
      <c r="Y170" s="725">
        <v>16810</v>
      </c>
      <c r="Z170" s="725">
        <v>343340</v>
      </c>
      <c r="AA170" s="725">
        <v>2900000</v>
      </c>
      <c r="AB170" s="725">
        <v>47850</v>
      </c>
      <c r="AC170" s="725">
        <v>69600</v>
      </c>
      <c r="AD170" s="725">
        <v>2550000</v>
      </c>
      <c r="AE170" s="725">
        <v>59670</v>
      </c>
      <c r="AF170" s="725">
        <v>746070</v>
      </c>
      <c r="AG170" s="725">
        <v>776550</v>
      </c>
      <c r="AH170" s="747">
        <f aca="true" t="shared" si="42" ref="AH170:AH176">O170+AF170+AG170</f>
        <v>10354490</v>
      </c>
      <c r="AI170" s="748"/>
      <c r="AJ170" s="133"/>
    </row>
    <row r="171" spans="1:36" ht="14.25">
      <c r="A171" s="1266"/>
      <c r="B171" s="1275"/>
      <c r="C171" s="745" t="s">
        <v>415</v>
      </c>
      <c r="D171" s="1272"/>
      <c r="E171" s="760"/>
      <c r="F171" s="753">
        <v>7</v>
      </c>
      <c r="G171" s="753">
        <v>1907000</v>
      </c>
      <c r="H171" s="753">
        <v>3</v>
      </c>
      <c r="I171" s="751">
        <f>G171*H171</f>
        <v>5721000</v>
      </c>
      <c r="J171" s="753">
        <f>G171*0.6</f>
        <v>1144200</v>
      </c>
      <c r="K171" s="753"/>
      <c r="L171" s="751">
        <f>ROUNDDOWN((G171*56/209*1.5)+(G171*52/209*1.5)+(G171*52/209*1.5),-1)</f>
        <v>2189850</v>
      </c>
      <c r="M171" s="753"/>
      <c r="N171" s="751">
        <f t="shared" si="32"/>
        <v>3334050</v>
      </c>
      <c r="O171" s="751">
        <f t="shared" si="36"/>
        <v>9055050</v>
      </c>
      <c r="P171" s="751"/>
      <c r="Q171" s="751"/>
      <c r="R171" s="751"/>
      <c r="S171" s="751"/>
      <c r="T171" s="753"/>
      <c r="U171" s="753"/>
      <c r="V171" s="753"/>
      <c r="W171" s="753"/>
      <c r="X171" s="751">
        <f>X170</f>
        <v>256650</v>
      </c>
      <c r="Y171" s="751">
        <f aca="true" t="shared" si="43" ref="Y171:AF171">Y170</f>
        <v>16810</v>
      </c>
      <c r="Z171" s="751">
        <f t="shared" si="43"/>
        <v>343340</v>
      </c>
      <c r="AA171" s="751">
        <f t="shared" si="43"/>
        <v>2900000</v>
      </c>
      <c r="AB171" s="751">
        <f t="shared" si="43"/>
        <v>47850</v>
      </c>
      <c r="AC171" s="751">
        <f t="shared" si="43"/>
        <v>69600</v>
      </c>
      <c r="AD171" s="751">
        <f t="shared" si="43"/>
        <v>2550000</v>
      </c>
      <c r="AE171" s="751">
        <f t="shared" si="43"/>
        <v>59670</v>
      </c>
      <c r="AF171" s="751">
        <f t="shared" si="43"/>
        <v>746070</v>
      </c>
      <c r="AG171" s="762" t="e">
        <f>INT(((O171+#REF!)/12)/100)*100</f>
        <v>#REF!</v>
      </c>
      <c r="AH171" s="754" t="e">
        <f t="shared" si="42"/>
        <v>#REF!</v>
      </c>
      <c r="AI171" s="748"/>
      <c r="AJ171" s="133"/>
    </row>
    <row r="172" spans="1:36" ht="14.25">
      <c r="A172" s="1266"/>
      <c r="B172" s="1275"/>
      <c r="C172" s="1271" t="s">
        <v>414</v>
      </c>
      <c r="D172" s="1271" t="s">
        <v>418</v>
      </c>
      <c r="E172" s="756"/>
      <c r="F172" s="725">
        <v>5</v>
      </c>
      <c r="G172" s="725">
        <v>1755000</v>
      </c>
      <c r="H172" s="725">
        <v>1</v>
      </c>
      <c r="I172" s="725">
        <v>1755000</v>
      </c>
      <c r="J172" s="725"/>
      <c r="K172" s="725"/>
      <c r="L172" s="725">
        <v>705350</v>
      </c>
      <c r="M172" s="725"/>
      <c r="N172" s="669">
        <f t="shared" si="32"/>
        <v>705350</v>
      </c>
      <c r="O172" s="669">
        <f t="shared" si="36"/>
        <v>2460350</v>
      </c>
      <c r="P172" s="669"/>
      <c r="Q172" s="669"/>
      <c r="R172" s="669"/>
      <c r="S172" s="669"/>
      <c r="T172" s="725"/>
      <c r="U172" s="725"/>
      <c r="V172" s="725"/>
      <c r="W172" s="725"/>
      <c r="X172" s="725">
        <v>84070</v>
      </c>
      <c r="Y172" s="725">
        <v>5500</v>
      </c>
      <c r="Z172" s="725">
        <v>118800</v>
      </c>
      <c r="AA172" s="725">
        <v>2850000</v>
      </c>
      <c r="AB172" s="725">
        <v>15670</v>
      </c>
      <c r="AC172" s="725">
        <v>22800</v>
      </c>
      <c r="AD172" s="725">
        <v>2550000</v>
      </c>
      <c r="AE172" s="725">
        <v>19890</v>
      </c>
      <c r="AF172" s="725">
        <v>251060</v>
      </c>
      <c r="AG172" s="725">
        <v>215640</v>
      </c>
      <c r="AH172" s="747">
        <f t="shared" si="42"/>
        <v>2927050</v>
      </c>
      <c r="AI172" s="748"/>
      <c r="AJ172" s="133"/>
    </row>
    <row r="173" spans="1:36" ht="14.25">
      <c r="A173" s="1266"/>
      <c r="B173" s="1275"/>
      <c r="C173" s="1272"/>
      <c r="D173" s="1273"/>
      <c r="E173" s="759"/>
      <c r="F173" s="725">
        <v>6</v>
      </c>
      <c r="G173" s="725">
        <v>1860000</v>
      </c>
      <c r="H173" s="725">
        <v>2</v>
      </c>
      <c r="I173" s="725">
        <v>3720000</v>
      </c>
      <c r="J173" s="725">
        <v>1116000</v>
      </c>
      <c r="K173" s="725"/>
      <c r="L173" s="725">
        <f>694160+747550</f>
        <v>1441710</v>
      </c>
      <c r="M173" s="725"/>
      <c r="N173" s="669">
        <f t="shared" si="32"/>
        <v>2557710</v>
      </c>
      <c r="O173" s="669">
        <f t="shared" si="36"/>
        <v>6277710</v>
      </c>
      <c r="P173" s="669"/>
      <c r="Q173" s="669"/>
      <c r="R173" s="669"/>
      <c r="S173" s="669"/>
      <c r="T173" s="725"/>
      <c r="U173" s="725"/>
      <c r="V173" s="725"/>
      <c r="W173" s="725"/>
      <c r="X173" s="725">
        <v>168150</v>
      </c>
      <c r="Y173" s="725">
        <v>11010</v>
      </c>
      <c r="Z173" s="725">
        <v>237600</v>
      </c>
      <c r="AA173" s="725">
        <v>2850000</v>
      </c>
      <c r="AB173" s="725">
        <v>31350</v>
      </c>
      <c r="AC173" s="725">
        <v>45600</v>
      </c>
      <c r="AD173" s="725">
        <v>2550000</v>
      </c>
      <c r="AE173" s="725">
        <v>39780</v>
      </c>
      <c r="AF173" s="725">
        <v>502140</v>
      </c>
      <c r="AG173" s="725">
        <v>548700</v>
      </c>
      <c r="AH173" s="747">
        <f t="shared" si="42"/>
        <v>7328550</v>
      </c>
      <c r="AI173" s="748"/>
      <c r="AJ173" s="133"/>
    </row>
    <row r="174" spans="1:36" ht="14.25">
      <c r="A174" s="1266"/>
      <c r="B174" s="1275"/>
      <c r="C174" s="745" t="s">
        <v>415</v>
      </c>
      <c r="D174" s="1272"/>
      <c r="E174" s="760"/>
      <c r="F174" s="753">
        <v>8</v>
      </c>
      <c r="G174" s="753">
        <v>1969000</v>
      </c>
      <c r="H174" s="753">
        <v>3</v>
      </c>
      <c r="I174" s="751">
        <f>G174*H174</f>
        <v>5907000</v>
      </c>
      <c r="J174" s="753">
        <f>G174*0.6</f>
        <v>1181400</v>
      </c>
      <c r="K174" s="753"/>
      <c r="L174" s="751">
        <f>ROUNDDOWN((G174*56/209*1.5)+(G174*52/209*1.5)+(G174*56/209*1.5),-1)</f>
        <v>2317570</v>
      </c>
      <c r="M174" s="753"/>
      <c r="N174" s="751">
        <f t="shared" si="32"/>
        <v>3498970</v>
      </c>
      <c r="O174" s="751">
        <f t="shared" si="36"/>
        <v>9405970</v>
      </c>
      <c r="P174" s="751"/>
      <c r="Q174" s="751"/>
      <c r="R174" s="751"/>
      <c r="S174" s="751"/>
      <c r="T174" s="753"/>
      <c r="U174" s="753"/>
      <c r="V174" s="753"/>
      <c r="W174" s="753"/>
      <c r="X174" s="753">
        <f>X172+X173</f>
        <v>252220</v>
      </c>
      <c r="Y174" s="753">
        <f aca="true" t="shared" si="44" ref="Y174:AF174">Y172+Y173</f>
        <v>16510</v>
      </c>
      <c r="Z174" s="753">
        <f t="shared" si="44"/>
        <v>356400</v>
      </c>
      <c r="AA174" s="753">
        <f t="shared" si="44"/>
        <v>5700000</v>
      </c>
      <c r="AB174" s="753">
        <f t="shared" si="44"/>
        <v>47020</v>
      </c>
      <c r="AC174" s="753">
        <f t="shared" si="44"/>
        <v>68400</v>
      </c>
      <c r="AD174" s="753">
        <f t="shared" si="44"/>
        <v>5100000</v>
      </c>
      <c r="AE174" s="753">
        <f t="shared" si="44"/>
        <v>59670</v>
      </c>
      <c r="AF174" s="753">
        <f t="shared" si="44"/>
        <v>753200</v>
      </c>
      <c r="AG174" s="762" t="e">
        <f>INT(((O174+#REF!)/12)/100)*100</f>
        <v>#REF!</v>
      </c>
      <c r="AH174" s="754" t="e">
        <f t="shared" si="42"/>
        <v>#REF!</v>
      </c>
      <c r="AI174" s="748"/>
      <c r="AJ174" s="133"/>
    </row>
    <row r="175" spans="1:36" ht="14.25">
      <c r="A175" s="1266"/>
      <c r="B175" s="1275"/>
      <c r="C175" s="745" t="s">
        <v>414</v>
      </c>
      <c r="D175" s="1271" t="s">
        <v>419</v>
      </c>
      <c r="E175" s="756"/>
      <c r="F175" s="725">
        <v>5</v>
      </c>
      <c r="G175" s="725">
        <v>1755000</v>
      </c>
      <c r="H175" s="725">
        <v>3</v>
      </c>
      <c r="I175" s="725">
        <v>5265000</v>
      </c>
      <c r="J175" s="725">
        <v>1053000</v>
      </c>
      <c r="K175" s="725"/>
      <c r="L175" s="725">
        <f>654970+654970+654970</f>
        <v>1964910</v>
      </c>
      <c r="M175" s="725"/>
      <c r="N175" s="669">
        <f t="shared" si="32"/>
        <v>3017910</v>
      </c>
      <c r="O175" s="669">
        <f t="shared" si="36"/>
        <v>8282910</v>
      </c>
      <c r="P175" s="669"/>
      <c r="Q175" s="669"/>
      <c r="R175" s="669"/>
      <c r="S175" s="669"/>
      <c r="T175" s="725"/>
      <c r="U175" s="725"/>
      <c r="V175" s="725"/>
      <c r="W175" s="725"/>
      <c r="X175" s="725">
        <v>225670</v>
      </c>
      <c r="Y175" s="725">
        <v>14780</v>
      </c>
      <c r="Z175" s="725">
        <v>344250</v>
      </c>
      <c r="AA175" s="725">
        <v>2550000</v>
      </c>
      <c r="AB175" s="725">
        <v>42070</v>
      </c>
      <c r="AC175" s="725">
        <v>61200</v>
      </c>
      <c r="AD175" s="725">
        <v>2550000</v>
      </c>
      <c r="AE175" s="725">
        <v>59670</v>
      </c>
      <c r="AF175" s="725">
        <v>705570</v>
      </c>
      <c r="AG175" s="725">
        <v>734690</v>
      </c>
      <c r="AH175" s="747">
        <f t="shared" si="42"/>
        <v>9723170</v>
      </c>
      <c r="AI175" s="748"/>
      <c r="AJ175" s="133"/>
    </row>
    <row r="176" spans="1:36" ht="14.25">
      <c r="A176" s="1267"/>
      <c r="B176" s="1276"/>
      <c r="C176" s="745" t="s">
        <v>415</v>
      </c>
      <c r="D176" s="1272"/>
      <c r="E176" s="760"/>
      <c r="F176" s="753">
        <v>7</v>
      </c>
      <c r="G176" s="753">
        <v>1907000</v>
      </c>
      <c r="H176" s="753">
        <v>3</v>
      </c>
      <c r="I176" s="751">
        <f>G176*H176</f>
        <v>5721000</v>
      </c>
      <c r="J176" s="753">
        <f>G176*0.6</f>
        <v>1144200</v>
      </c>
      <c r="K176" s="753"/>
      <c r="L176" s="751">
        <f>ROUNDDOWN((G176*52/209*1.5)+(G176*52/209*1.5)+(G176*52/209*1.5),-1)</f>
        <v>2135110</v>
      </c>
      <c r="M176" s="753"/>
      <c r="N176" s="751">
        <f t="shared" si="32"/>
        <v>3279310</v>
      </c>
      <c r="O176" s="751">
        <f t="shared" si="36"/>
        <v>9000310</v>
      </c>
      <c r="P176" s="751"/>
      <c r="Q176" s="751"/>
      <c r="R176" s="751"/>
      <c r="S176" s="751"/>
      <c r="T176" s="753"/>
      <c r="U176" s="753"/>
      <c r="V176" s="753"/>
      <c r="W176" s="753"/>
      <c r="X176" s="751">
        <f>X175</f>
        <v>225670</v>
      </c>
      <c r="Y176" s="751">
        <f aca="true" t="shared" si="45" ref="Y176:AF176">Y175</f>
        <v>14780</v>
      </c>
      <c r="Z176" s="751">
        <f t="shared" si="45"/>
        <v>344250</v>
      </c>
      <c r="AA176" s="751">
        <f t="shared" si="45"/>
        <v>2550000</v>
      </c>
      <c r="AB176" s="751">
        <f t="shared" si="45"/>
        <v>42070</v>
      </c>
      <c r="AC176" s="751">
        <f t="shared" si="45"/>
        <v>61200</v>
      </c>
      <c r="AD176" s="751">
        <f t="shared" si="45"/>
        <v>2550000</v>
      </c>
      <c r="AE176" s="751">
        <f t="shared" si="45"/>
        <v>59670</v>
      </c>
      <c r="AF176" s="751">
        <f t="shared" si="45"/>
        <v>705570</v>
      </c>
      <c r="AG176" s="762" t="e">
        <f>INT(((O176+#REF!)/12)/100)*100</f>
        <v>#REF!</v>
      </c>
      <c r="AH176" s="754" t="e">
        <f t="shared" si="42"/>
        <v>#REF!</v>
      </c>
      <c r="AI176" s="748"/>
      <c r="AJ176" s="133"/>
    </row>
    <row r="177" spans="1:36" ht="24" customHeight="1">
      <c r="A177" s="1251" t="s">
        <v>422</v>
      </c>
      <c r="B177" s="1252"/>
      <c r="C177" s="1252"/>
      <c r="D177" s="1252"/>
      <c r="E177" s="1252"/>
      <c r="F177" s="1252"/>
      <c r="G177" s="1253"/>
      <c r="H177" s="758"/>
      <c r="I177" s="660">
        <f>(I176+I174+I171)-(I170+I172+I173+I175)</f>
        <v>1029000</v>
      </c>
      <c r="J177" s="660">
        <f>(J176+J174+J171)-(J170+J172+J173+J175)</f>
        <v>184800</v>
      </c>
      <c r="K177" s="660">
        <f>(K176+K174+K171)-(K170+K172+K173+K175)</f>
        <v>0</v>
      </c>
      <c r="L177" s="660">
        <f>(L176+L174+L171)-(L170+L172+L173+L175)</f>
        <v>394690</v>
      </c>
      <c r="M177" s="660">
        <f>(M176+M174+M171)-(M170+M172+M173+M175)</f>
        <v>0</v>
      </c>
      <c r="N177" s="659">
        <f t="shared" si="32"/>
        <v>579490</v>
      </c>
      <c r="O177" s="659">
        <f t="shared" si="36"/>
        <v>1608490</v>
      </c>
      <c r="P177" s="659"/>
      <c r="Q177" s="659"/>
      <c r="R177" s="659"/>
      <c r="S177" s="659"/>
      <c r="T177" s="660"/>
      <c r="U177" s="660"/>
      <c r="V177" s="660"/>
      <c r="W177" s="660"/>
      <c r="X177" s="660">
        <f aca="true" t="shared" si="46" ref="X177:AH177">(X176+X174+X171)-(X170+X172+X173+X175)</f>
        <v>0</v>
      </c>
      <c r="Y177" s="660">
        <f t="shared" si="46"/>
        <v>0</v>
      </c>
      <c r="Z177" s="660">
        <f t="shared" si="46"/>
        <v>0</v>
      </c>
      <c r="AA177" s="660">
        <f t="shared" si="46"/>
        <v>0</v>
      </c>
      <c r="AB177" s="660">
        <f t="shared" si="46"/>
        <v>0</v>
      </c>
      <c r="AC177" s="660">
        <f t="shared" si="46"/>
        <v>0</v>
      </c>
      <c r="AD177" s="660">
        <f t="shared" si="46"/>
        <v>0</v>
      </c>
      <c r="AE177" s="660">
        <f t="shared" si="46"/>
        <v>0</v>
      </c>
      <c r="AF177" s="660">
        <f t="shared" si="46"/>
        <v>0</v>
      </c>
      <c r="AG177" s="660" t="e">
        <f t="shared" si="46"/>
        <v>#REF!</v>
      </c>
      <c r="AH177" s="660" t="e">
        <f t="shared" si="46"/>
        <v>#REF!</v>
      </c>
      <c r="AI177" s="748"/>
      <c r="AJ177" s="133"/>
    </row>
    <row r="178" spans="1:36" ht="24" customHeight="1">
      <c r="A178" s="1265" t="s">
        <v>423</v>
      </c>
      <c r="B178" s="1268" t="s">
        <v>370</v>
      </c>
      <c r="C178" s="1271" t="s">
        <v>414</v>
      </c>
      <c r="D178" s="1271" t="s">
        <v>379</v>
      </c>
      <c r="E178" s="756"/>
      <c r="F178" s="725">
        <v>6</v>
      </c>
      <c r="G178" s="725">
        <v>1860000</v>
      </c>
      <c r="H178" s="725">
        <v>2</v>
      </c>
      <c r="I178" s="725">
        <v>3720000</v>
      </c>
      <c r="J178" s="725"/>
      <c r="K178" s="725"/>
      <c r="L178" s="725">
        <v>1468420</v>
      </c>
      <c r="M178" s="725"/>
      <c r="N178" s="669">
        <f t="shared" si="32"/>
        <v>1468420</v>
      </c>
      <c r="O178" s="669">
        <f t="shared" si="36"/>
        <v>5188420</v>
      </c>
      <c r="P178" s="669"/>
      <c r="Q178" s="669"/>
      <c r="R178" s="669"/>
      <c r="S178" s="669"/>
      <c r="T178" s="725"/>
      <c r="U178" s="725"/>
      <c r="V178" s="725"/>
      <c r="W178" s="725"/>
      <c r="X178" s="725">
        <v>171100</v>
      </c>
      <c r="Y178" s="725">
        <v>11200</v>
      </c>
      <c r="Z178" s="725">
        <v>228890</v>
      </c>
      <c r="AA178" s="725">
        <v>2900000</v>
      </c>
      <c r="AB178" s="725">
        <v>31900</v>
      </c>
      <c r="AC178" s="725">
        <v>46400</v>
      </c>
      <c r="AD178" s="725">
        <v>2550000</v>
      </c>
      <c r="AE178" s="725">
        <v>39780</v>
      </c>
      <c r="AF178" s="725">
        <v>497370</v>
      </c>
      <c r="AG178" s="725">
        <v>455700</v>
      </c>
      <c r="AH178" s="747">
        <f aca="true" t="shared" si="47" ref="AH178:AH183">O178+AF178+AG178</f>
        <v>6141490</v>
      </c>
      <c r="AI178" s="748"/>
      <c r="AJ178" s="133"/>
    </row>
    <row r="179" spans="1:36" ht="24" customHeight="1">
      <c r="A179" s="1266"/>
      <c r="B179" s="1269"/>
      <c r="C179" s="1272"/>
      <c r="D179" s="1273"/>
      <c r="E179" s="759"/>
      <c r="F179" s="753">
        <v>7</v>
      </c>
      <c r="G179" s="753">
        <v>1907000</v>
      </c>
      <c r="H179" s="753">
        <v>2</v>
      </c>
      <c r="I179" s="753">
        <f>G179*H179</f>
        <v>3814000</v>
      </c>
      <c r="J179" s="753"/>
      <c r="K179" s="753"/>
      <c r="L179" s="751">
        <f>ROUNDDOWN((G179*55/209*1.5)+(G179*55/209*1.5),-1)</f>
        <v>1505520</v>
      </c>
      <c r="M179" s="753"/>
      <c r="N179" s="751">
        <f t="shared" si="32"/>
        <v>1505520</v>
      </c>
      <c r="O179" s="751">
        <f t="shared" si="36"/>
        <v>5319520</v>
      </c>
      <c r="P179" s="751"/>
      <c r="Q179" s="751"/>
      <c r="R179" s="751"/>
      <c r="S179" s="751"/>
      <c r="T179" s="753"/>
      <c r="U179" s="753"/>
      <c r="V179" s="753"/>
      <c r="W179" s="753"/>
      <c r="X179" s="751">
        <f>X178</f>
        <v>171100</v>
      </c>
      <c r="Y179" s="751">
        <f aca="true" t="shared" si="48" ref="Y179:AF179">Y178</f>
        <v>11200</v>
      </c>
      <c r="Z179" s="751">
        <f t="shared" si="48"/>
        <v>228890</v>
      </c>
      <c r="AA179" s="751">
        <f t="shared" si="48"/>
        <v>2900000</v>
      </c>
      <c r="AB179" s="751">
        <f t="shared" si="48"/>
        <v>31900</v>
      </c>
      <c r="AC179" s="751">
        <f t="shared" si="48"/>
        <v>46400</v>
      </c>
      <c r="AD179" s="751">
        <f t="shared" si="48"/>
        <v>2550000</v>
      </c>
      <c r="AE179" s="751">
        <f t="shared" si="48"/>
        <v>39780</v>
      </c>
      <c r="AF179" s="751">
        <f t="shared" si="48"/>
        <v>497370</v>
      </c>
      <c r="AG179" s="762" t="e">
        <f>INT(((O179+#REF!)/12)/100)*100</f>
        <v>#REF!</v>
      </c>
      <c r="AH179" s="754" t="e">
        <f t="shared" si="47"/>
        <v>#REF!</v>
      </c>
      <c r="AI179" s="748"/>
      <c r="AJ179" s="133"/>
    </row>
    <row r="180" spans="1:36" ht="24" customHeight="1">
      <c r="A180" s="1266"/>
      <c r="B180" s="1269"/>
      <c r="C180" s="745" t="s">
        <v>414</v>
      </c>
      <c r="D180" s="1271" t="s">
        <v>418</v>
      </c>
      <c r="E180" s="756"/>
      <c r="F180" s="725">
        <v>6</v>
      </c>
      <c r="G180" s="725">
        <v>1860000</v>
      </c>
      <c r="H180" s="725">
        <v>2</v>
      </c>
      <c r="I180" s="725">
        <v>3720000</v>
      </c>
      <c r="J180" s="725"/>
      <c r="K180" s="725"/>
      <c r="L180" s="725">
        <v>1468420</v>
      </c>
      <c r="M180" s="725"/>
      <c r="N180" s="669">
        <f t="shared" si="32"/>
        <v>1468420</v>
      </c>
      <c r="O180" s="669">
        <f t="shared" si="36"/>
        <v>5188420</v>
      </c>
      <c r="P180" s="669"/>
      <c r="Q180" s="669"/>
      <c r="R180" s="669"/>
      <c r="S180" s="669"/>
      <c r="T180" s="725"/>
      <c r="U180" s="725"/>
      <c r="V180" s="725"/>
      <c r="W180" s="725"/>
      <c r="X180" s="725">
        <v>168150</v>
      </c>
      <c r="Y180" s="725">
        <v>11010</v>
      </c>
      <c r="Z180" s="725">
        <v>237600</v>
      </c>
      <c r="AA180" s="725">
        <v>2850000</v>
      </c>
      <c r="AB180" s="725">
        <v>31350</v>
      </c>
      <c r="AC180" s="725">
        <v>45600</v>
      </c>
      <c r="AD180" s="725">
        <v>2550000</v>
      </c>
      <c r="AE180" s="725">
        <v>39780</v>
      </c>
      <c r="AF180" s="725">
        <v>502140</v>
      </c>
      <c r="AG180" s="725">
        <v>455700</v>
      </c>
      <c r="AH180" s="747">
        <f t="shared" si="47"/>
        <v>6146260</v>
      </c>
      <c r="AI180" s="748"/>
      <c r="AJ180" s="133"/>
    </row>
    <row r="181" spans="1:36" ht="24" customHeight="1">
      <c r="A181" s="1266"/>
      <c r="B181" s="1269"/>
      <c r="C181" s="745" t="s">
        <v>415</v>
      </c>
      <c r="D181" s="1272"/>
      <c r="E181" s="760"/>
      <c r="F181" s="753">
        <v>8</v>
      </c>
      <c r="G181" s="753">
        <v>1969000</v>
      </c>
      <c r="H181" s="753">
        <v>2</v>
      </c>
      <c r="I181" s="753">
        <f>G181*H181</f>
        <v>3938000</v>
      </c>
      <c r="J181" s="753"/>
      <c r="K181" s="753"/>
      <c r="L181" s="751">
        <f>ROUNDDOWN((G181*55/209*1.5)+(G181*55/209*1.5),-1)</f>
        <v>1554470</v>
      </c>
      <c r="M181" s="753"/>
      <c r="N181" s="751">
        <f t="shared" si="32"/>
        <v>1554470</v>
      </c>
      <c r="O181" s="751">
        <f t="shared" si="36"/>
        <v>5492470</v>
      </c>
      <c r="P181" s="751"/>
      <c r="Q181" s="751"/>
      <c r="R181" s="751"/>
      <c r="S181" s="751"/>
      <c r="T181" s="753"/>
      <c r="U181" s="753"/>
      <c r="V181" s="753"/>
      <c r="W181" s="753"/>
      <c r="X181" s="751">
        <f>X180</f>
        <v>168150</v>
      </c>
      <c r="Y181" s="751">
        <f aca="true" t="shared" si="49" ref="Y181:AF181">Y180</f>
        <v>11010</v>
      </c>
      <c r="Z181" s="751">
        <f t="shared" si="49"/>
        <v>237600</v>
      </c>
      <c r="AA181" s="751">
        <f t="shared" si="49"/>
        <v>2850000</v>
      </c>
      <c r="AB181" s="751">
        <f t="shared" si="49"/>
        <v>31350</v>
      </c>
      <c r="AC181" s="751">
        <f t="shared" si="49"/>
        <v>45600</v>
      </c>
      <c r="AD181" s="751">
        <f t="shared" si="49"/>
        <v>2550000</v>
      </c>
      <c r="AE181" s="751">
        <f t="shared" si="49"/>
        <v>39780</v>
      </c>
      <c r="AF181" s="751">
        <f t="shared" si="49"/>
        <v>502140</v>
      </c>
      <c r="AG181" s="762" t="e">
        <f>INT(((O181+#REF!)/12)/100)*100</f>
        <v>#REF!</v>
      </c>
      <c r="AH181" s="754" t="e">
        <f t="shared" si="47"/>
        <v>#REF!</v>
      </c>
      <c r="AI181" s="748"/>
      <c r="AJ181" s="133"/>
    </row>
    <row r="182" spans="1:36" ht="24" customHeight="1">
      <c r="A182" s="1266"/>
      <c r="B182" s="1269"/>
      <c r="C182" s="745" t="s">
        <v>414</v>
      </c>
      <c r="D182" s="1271" t="s">
        <v>419</v>
      </c>
      <c r="E182" s="756"/>
      <c r="F182" s="725">
        <v>5</v>
      </c>
      <c r="G182" s="725">
        <v>1755000</v>
      </c>
      <c r="H182" s="725">
        <v>2</v>
      </c>
      <c r="I182" s="725">
        <v>3510000</v>
      </c>
      <c r="J182" s="725"/>
      <c r="K182" s="725"/>
      <c r="L182" s="725">
        <v>1385520</v>
      </c>
      <c r="M182" s="725"/>
      <c r="N182" s="669">
        <f t="shared" si="32"/>
        <v>1385520</v>
      </c>
      <c r="O182" s="669">
        <f t="shared" si="36"/>
        <v>4895520</v>
      </c>
      <c r="P182" s="669"/>
      <c r="Q182" s="669"/>
      <c r="R182" s="669"/>
      <c r="S182" s="669"/>
      <c r="T182" s="725"/>
      <c r="U182" s="725"/>
      <c r="V182" s="725"/>
      <c r="W182" s="725"/>
      <c r="X182" s="725">
        <v>150450</v>
      </c>
      <c r="Y182" s="725">
        <v>9850</v>
      </c>
      <c r="Z182" s="725">
        <v>229500</v>
      </c>
      <c r="AA182" s="725">
        <v>2550000</v>
      </c>
      <c r="AB182" s="725">
        <v>28050</v>
      </c>
      <c r="AC182" s="725">
        <v>40800</v>
      </c>
      <c r="AD182" s="725">
        <v>2550000</v>
      </c>
      <c r="AE182" s="725">
        <v>39780</v>
      </c>
      <c r="AF182" s="725">
        <v>470380</v>
      </c>
      <c r="AG182" s="725">
        <v>431290</v>
      </c>
      <c r="AH182" s="747">
        <f t="shared" si="47"/>
        <v>5797190</v>
      </c>
      <c r="AI182" s="748"/>
      <c r="AJ182" s="133"/>
    </row>
    <row r="183" spans="1:44" ht="24" customHeight="1">
      <c r="A183" s="1267"/>
      <c r="B183" s="1270"/>
      <c r="C183" s="745" t="s">
        <v>415</v>
      </c>
      <c r="D183" s="1272"/>
      <c r="E183" s="760"/>
      <c r="F183" s="753">
        <v>7</v>
      </c>
      <c r="G183" s="753">
        <v>1907000</v>
      </c>
      <c r="H183" s="753">
        <v>2</v>
      </c>
      <c r="I183" s="753">
        <f>G183*H183</f>
        <v>3814000</v>
      </c>
      <c r="J183" s="753"/>
      <c r="K183" s="753"/>
      <c r="L183" s="751">
        <f>ROUNDDOWN((G183*55/209*1.5)+(G183*55/209*1.5),-1)</f>
        <v>1505520</v>
      </c>
      <c r="M183" s="753"/>
      <c r="N183" s="751">
        <f t="shared" si="32"/>
        <v>1505520</v>
      </c>
      <c r="O183" s="751">
        <f t="shared" si="36"/>
        <v>5319520</v>
      </c>
      <c r="P183" s="751"/>
      <c r="Q183" s="751"/>
      <c r="R183" s="751"/>
      <c r="S183" s="751"/>
      <c r="T183" s="753"/>
      <c r="U183" s="753"/>
      <c r="V183" s="753"/>
      <c r="W183" s="753"/>
      <c r="X183" s="751">
        <f>X182</f>
        <v>150450</v>
      </c>
      <c r="Y183" s="751">
        <f aca="true" t="shared" si="50" ref="Y183:AF183">Y182</f>
        <v>9850</v>
      </c>
      <c r="Z183" s="751">
        <f t="shared" si="50"/>
        <v>229500</v>
      </c>
      <c r="AA183" s="751">
        <f t="shared" si="50"/>
        <v>2550000</v>
      </c>
      <c r="AB183" s="751">
        <f t="shared" si="50"/>
        <v>28050</v>
      </c>
      <c r="AC183" s="751">
        <f t="shared" si="50"/>
        <v>40800</v>
      </c>
      <c r="AD183" s="751">
        <f t="shared" si="50"/>
        <v>2550000</v>
      </c>
      <c r="AE183" s="751">
        <f t="shared" si="50"/>
        <v>39780</v>
      </c>
      <c r="AF183" s="751">
        <f t="shared" si="50"/>
        <v>470380</v>
      </c>
      <c r="AG183" s="762" t="e">
        <f>INT(((O183+#REF!)/12)/100)*100</f>
        <v>#REF!</v>
      </c>
      <c r="AH183" s="754" t="e">
        <f t="shared" si="47"/>
        <v>#REF!</v>
      </c>
      <c r="AI183" s="747" t="e">
        <f>T183+#REF!+AH183</f>
        <v>#REF!</v>
      </c>
      <c r="AJ183" s="747"/>
      <c r="AK183" s="747" t="e">
        <f>V183+AG183+AI183</f>
        <v>#REF!</v>
      </c>
      <c r="AL183" s="747" t="e">
        <f>W183+AH183+AK183</f>
        <v>#REF!</v>
      </c>
      <c r="AM183" s="747" t="e">
        <f>#REF!+AI183+AL183</f>
        <v>#REF!</v>
      </c>
      <c r="AN183" s="747" t="e">
        <f>X183+AK183+AM183</f>
        <v>#REF!</v>
      </c>
      <c r="AO183" s="747" t="e">
        <f>Y183+AL183+AN183</f>
        <v>#REF!</v>
      </c>
      <c r="AP183" s="747" t="e">
        <f>Z183+AM183+AO183</f>
        <v>#REF!</v>
      </c>
      <c r="AQ183" s="747" t="e">
        <f>AA183+AN183+AP183</f>
        <v>#REF!</v>
      </c>
      <c r="AR183" s="747" t="e">
        <f>AB183+AO183+AQ183</f>
        <v>#REF!</v>
      </c>
    </row>
    <row r="184" spans="1:36" ht="24" customHeight="1">
      <c r="A184" s="1251" t="s">
        <v>424</v>
      </c>
      <c r="B184" s="1252"/>
      <c r="C184" s="1252"/>
      <c r="D184" s="1252"/>
      <c r="E184" s="1252"/>
      <c r="F184" s="1252"/>
      <c r="G184" s="1253"/>
      <c r="H184" s="758"/>
      <c r="I184" s="660">
        <f>(I183+I181+I179)-(I178+I180+I182)</f>
        <v>616000</v>
      </c>
      <c r="J184" s="660">
        <f aca="true" t="shared" si="51" ref="J184:AH184">(J183+J181+J179)-(J178+J180+J182)</f>
        <v>0</v>
      </c>
      <c r="K184" s="660">
        <f t="shared" si="51"/>
        <v>0</v>
      </c>
      <c r="L184" s="660">
        <f t="shared" si="51"/>
        <v>243150</v>
      </c>
      <c r="M184" s="660">
        <f t="shared" si="51"/>
        <v>0</v>
      </c>
      <c r="N184" s="660">
        <f t="shared" si="51"/>
        <v>243150</v>
      </c>
      <c r="O184" s="660">
        <f t="shared" si="51"/>
        <v>859150</v>
      </c>
      <c r="P184" s="660"/>
      <c r="Q184" s="660"/>
      <c r="R184" s="660"/>
      <c r="S184" s="660"/>
      <c r="T184" s="660">
        <f t="shared" si="51"/>
        <v>0</v>
      </c>
      <c r="U184" s="660"/>
      <c r="V184" s="660">
        <f t="shared" si="51"/>
        <v>0</v>
      </c>
      <c r="W184" s="660">
        <f t="shared" si="51"/>
        <v>0</v>
      </c>
      <c r="X184" s="660">
        <f t="shared" si="51"/>
        <v>0</v>
      </c>
      <c r="Y184" s="660">
        <f t="shared" si="51"/>
        <v>0</v>
      </c>
      <c r="Z184" s="660">
        <f t="shared" si="51"/>
        <v>0</v>
      </c>
      <c r="AA184" s="660">
        <f t="shared" si="51"/>
        <v>0</v>
      </c>
      <c r="AB184" s="660">
        <f t="shared" si="51"/>
        <v>0</v>
      </c>
      <c r="AC184" s="660">
        <f t="shared" si="51"/>
        <v>0</v>
      </c>
      <c r="AD184" s="660">
        <f t="shared" si="51"/>
        <v>0</v>
      </c>
      <c r="AE184" s="660">
        <f t="shared" si="51"/>
        <v>0</v>
      </c>
      <c r="AF184" s="660">
        <f t="shared" si="51"/>
        <v>0</v>
      </c>
      <c r="AG184" s="660" t="e">
        <f t="shared" si="51"/>
        <v>#REF!</v>
      </c>
      <c r="AH184" s="660" t="e">
        <f t="shared" si="51"/>
        <v>#REF!</v>
      </c>
      <c r="AI184" s="748"/>
      <c r="AJ184" s="133"/>
    </row>
    <row r="185" spans="1:36" ht="24" customHeight="1">
      <c r="A185" s="1254" t="s">
        <v>425</v>
      </c>
      <c r="B185" s="1257" t="s">
        <v>329</v>
      </c>
      <c r="C185" s="1254" t="s">
        <v>415</v>
      </c>
      <c r="D185" s="763" t="s">
        <v>337</v>
      </c>
      <c r="E185" s="763"/>
      <c r="F185" s="764">
        <v>7</v>
      </c>
      <c r="G185" s="765"/>
      <c r="H185" s="766"/>
      <c r="I185" s="767">
        <f aca="true" t="shared" si="52" ref="I185:AH185">SUM((I179+I171+I164+I158)-(I157+I162+I163+I170+I178))</f>
        <v>481000</v>
      </c>
      <c r="J185" s="767">
        <f t="shared" si="52"/>
        <v>91200</v>
      </c>
      <c r="K185" s="767">
        <f t="shared" si="52"/>
        <v>0</v>
      </c>
      <c r="L185" s="767">
        <f t="shared" si="52"/>
        <v>103040</v>
      </c>
      <c r="M185" s="767">
        <f t="shared" si="52"/>
        <v>0</v>
      </c>
      <c r="N185" s="767">
        <f t="shared" si="52"/>
        <v>194240</v>
      </c>
      <c r="O185" s="767">
        <f t="shared" si="52"/>
        <v>675240</v>
      </c>
      <c r="P185" s="767"/>
      <c r="Q185" s="767"/>
      <c r="R185" s="767"/>
      <c r="S185" s="767"/>
      <c r="T185" s="767">
        <f t="shared" si="52"/>
        <v>0</v>
      </c>
      <c r="U185" s="767"/>
      <c r="V185" s="767">
        <f t="shared" si="52"/>
        <v>0</v>
      </c>
      <c r="W185" s="767">
        <f t="shared" si="52"/>
        <v>0</v>
      </c>
      <c r="X185" s="767">
        <f t="shared" si="52"/>
        <v>0</v>
      </c>
      <c r="Y185" s="767">
        <f t="shared" si="52"/>
        <v>0</v>
      </c>
      <c r="Z185" s="767">
        <f t="shared" si="52"/>
        <v>0</v>
      </c>
      <c r="AA185" s="767">
        <f t="shared" si="52"/>
        <v>0</v>
      </c>
      <c r="AB185" s="767">
        <f t="shared" si="52"/>
        <v>0</v>
      </c>
      <c r="AC185" s="767">
        <f t="shared" si="52"/>
        <v>0</v>
      </c>
      <c r="AD185" s="767">
        <f t="shared" si="52"/>
        <v>0</v>
      </c>
      <c r="AE185" s="767">
        <f t="shared" si="52"/>
        <v>0</v>
      </c>
      <c r="AF185" s="767">
        <f t="shared" si="52"/>
        <v>0</v>
      </c>
      <c r="AG185" s="767" t="e">
        <f t="shared" si="52"/>
        <v>#REF!</v>
      </c>
      <c r="AH185" s="767" t="e">
        <f t="shared" si="52"/>
        <v>#REF!</v>
      </c>
      <c r="AI185" s="768"/>
      <c r="AJ185" s="133"/>
    </row>
    <row r="186" spans="1:36" ht="24" customHeight="1">
      <c r="A186" s="1255"/>
      <c r="B186" s="1258"/>
      <c r="C186" s="1255"/>
      <c r="D186" s="763" t="s">
        <v>338</v>
      </c>
      <c r="E186" s="763"/>
      <c r="F186" s="764">
        <v>8</v>
      </c>
      <c r="G186" s="765"/>
      <c r="H186" s="766"/>
      <c r="I186" s="765">
        <f>SUM(I181+I174+I166+I160)-(I159+I165+I172+I173+I180)</f>
        <v>1748000</v>
      </c>
      <c r="J186" s="765">
        <f aca="true" t="shared" si="53" ref="J186:AH186">SUM(J181+J174+J166+J160)-(J159+J165+J172+J173+J180)</f>
        <v>156600</v>
      </c>
      <c r="K186" s="765">
        <f t="shared" si="53"/>
        <v>0</v>
      </c>
      <c r="L186" s="765">
        <f t="shared" si="53"/>
        <v>675100</v>
      </c>
      <c r="M186" s="765">
        <f t="shared" si="53"/>
        <v>0</v>
      </c>
      <c r="N186" s="765">
        <f t="shared" si="53"/>
        <v>831700</v>
      </c>
      <c r="O186" s="765">
        <f t="shared" si="53"/>
        <v>2579700</v>
      </c>
      <c r="P186" s="765"/>
      <c r="Q186" s="765"/>
      <c r="R186" s="765"/>
      <c r="S186" s="765"/>
      <c r="T186" s="765">
        <f t="shared" si="53"/>
        <v>0</v>
      </c>
      <c r="U186" s="765"/>
      <c r="V186" s="765">
        <f t="shared" si="53"/>
        <v>0</v>
      </c>
      <c r="W186" s="765">
        <f t="shared" si="53"/>
        <v>0</v>
      </c>
      <c r="X186" s="765">
        <f t="shared" si="53"/>
        <v>0</v>
      </c>
      <c r="Y186" s="765">
        <f t="shared" si="53"/>
        <v>0</v>
      </c>
      <c r="Z186" s="765">
        <f t="shared" si="53"/>
        <v>0</v>
      </c>
      <c r="AA186" s="765">
        <f t="shared" si="53"/>
        <v>0</v>
      </c>
      <c r="AB186" s="765">
        <f t="shared" si="53"/>
        <v>0</v>
      </c>
      <c r="AC186" s="765">
        <f t="shared" si="53"/>
        <v>0</v>
      </c>
      <c r="AD186" s="765">
        <f t="shared" si="53"/>
        <v>0</v>
      </c>
      <c r="AE186" s="765">
        <f t="shared" si="53"/>
        <v>0</v>
      </c>
      <c r="AF186" s="765">
        <f t="shared" si="53"/>
        <v>0</v>
      </c>
      <c r="AG186" s="765" t="e">
        <f t="shared" si="53"/>
        <v>#REF!</v>
      </c>
      <c r="AH186" s="765" t="e">
        <f t="shared" si="53"/>
        <v>#REF!</v>
      </c>
      <c r="AI186" s="768"/>
      <c r="AJ186" s="133"/>
    </row>
    <row r="187" spans="1:36" ht="24" customHeight="1">
      <c r="A187" s="1256"/>
      <c r="B187" s="1259"/>
      <c r="C187" s="1256"/>
      <c r="D187" s="763" t="s">
        <v>339</v>
      </c>
      <c r="E187" s="763"/>
      <c r="F187" s="764">
        <v>7</v>
      </c>
      <c r="G187" s="765"/>
      <c r="H187" s="766"/>
      <c r="I187" s="765">
        <f aca="true" t="shared" si="54" ref="I187:AH187">SUM(I183+I176+I168)-(I167+I175+I182)</f>
        <v>1075000</v>
      </c>
      <c r="J187" s="765">
        <f t="shared" si="54"/>
        <v>91200</v>
      </c>
      <c r="K187" s="765">
        <f t="shared" si="54"/>
        <v>0</v>
      </c>
      <c r="L187" s="765">
        <f t="shared" si="54"/>
        <v>410790</v>
      </c>
      <c r="M187" s="765">
        <f t="shared" si="54"/>
        <v>0</v>
      </c>
      <c r="N187" s="765">
        <f t="shared" si="54"/>
        <v>501990</v>
      </c>
      <c r="O187" s="765">
        <f t="shared" si="54"/>
        <v>1576990</v>
      </c>
      <c r="P187" s="765"/>
      <c r="Q187" s="765"/>
      <c r="R187" s="765"/>
      <c r="S187" s="765"/>
      <c r="T187" s="765">
        <f t="shared" si="54"/>
        <v>0</v>
      </c>
      <c r="U187" s="765"/>
      <c r="V187" s="765">
        <f t="shared" si="54"/>
        <v>0</v>
      </c>
      <c r="W187" s="765">
        <f t="shared" si="54"/>
        <v>0</v>
      </c>
      <c r="X187" s="765">
        <f t="shared" si="54"/>
        <v>0</v>
      </c>
      <c r="Y187" s="765">
        <f t="shared" si="54"/>
        <v>0</v>
      </c>
      <c r="Z187" s="765">
        <f t="shared" si="54"/>
        <v>0</v>
      </c>
      <c r="AA187" s="765">
        <f t="shared" si="54"/>
        <v>0</v>
      </c>
      <c r="AB187" s="765">
        <f t="shared" si="54"/>
        <v>0</v>
      </c>
      <c r="AC187" s="765">
        <f t="shared" si="54"/>
        <v>0</v>
      </c>
      <c r="AD187" s="765">
        <f t="shared" si="54"/>
        <v>0</v>
      </c>
      <c r="AE187" s="765">
        <f t="shared" si="54"/>
        <v>0</v>
      </c>
      <c r="AF187" s="765">
        <f t="shared" si="54"/>
        <v>0</v>
      </c>
      <c r="AG187" s="765" t="e">
        <f t="shared" si="54"/>
        <v>#REF!</v>
      </c>
      <c r="AH187" s="765" t="e">
        <f t="shared" si="54"/>
        <v>#REF!</v>
      </c>
      <c r="AI187" s="768"/>
      <c r="AJ187" s="133"/>
    </row>
    <row r="188" spans="1:36" ht="24" customHeight="1">
      <c r="A188" s="1260" t="s">
        <v>426</v>
      </c>
      <c r="B188" s="1260"/>
      <c r="C188" s="1260"/>
      <c r="D188" s="1260"/>
      <c r="E188" s="1260"/>
      <c r="F188" s="1260"/>
      <c r="G188" s="1261"/>
      <c r="H188" s="766"/>
      <c r="I188" s="765">
        <f>SUM(I185:I187)</f>
        <v>3304000</v>
      </c>
      <c r="J188" s="765">
        <f aca="true" t="shared" si="55" ref="J188:AH188">SUM(J185:J187)</f>
        <v>339000</v>
      </c>
      <c r="K188" s="765">
        <f t="shared" si="55"/>
        <v>0</v>
      </c>
      <c r="L188" s="765">
        <f t="shared" si="55"/>
        <v>1188930</v>
      </c>
      <c r="M188" s="765">
        <f t="shared" si="55"/>
        <v>0</v>
      </c>
      <c r="N188" s="765">
        <f t="shared" si="55"/>
        <v>1527930</v>
      </c>
      <c r="O188" s="765">
        <f t="shared" si="55"/>
        <v>4831930</v>
      </c>
      <c r="P188" s="765"/>
      <c r="Q188" s="765"/>
      <c r="R188" s="765"/>
      <c r="S188" s="765"/>
      <c r="T188" s="765">
        <f t="shared" si="55"/>
        <v>0</v>
      </c>
      <c r="U188" s="765"/>
      <c r="V188" s="765">
        <f t="shared" si="55"/>
        <v>0</v>
      </c>
      <c r="W188" s="765">
        <f t="shared" si="55"/>
        <v>0</v>
      </c>
      <c r="X188" s="765">
        <f t="shared" si="55"/>
        <v>0</v>
      </c>
      <c r="Y188" s="765">
        <f t="shared" si="55"/>
        <v>0</v>
      </c>
      <c r="Z188" s="765">
        <f t="shared" si="55"/>
        <v>0</v>
      </c>
      <c r="AA188" s="765">
        <f t="shared" si="55"/>
        <v>0</v>
      </c>
      <c r="AB188" s="765">
        <f t="shared" si="55"/>
        <v>0</v>
      </c>
      <c r="AC188" s="765">
        <f t="shared" si="55"/>
        <v>0</v>
      </c>
      <c r="AD188" s="765">
        <f t="shared" si="55"/>
        <v>0</v>
      </c>
      <c r="AE188" s="765">
        <f t="shared" si="55"/>
        <v>0</v>
      </c>
      <c r="AF188" s="765">
        <f t="shared" si="55"/>
        <v>0</v>
      </c>
      <c r="AG188" s="765" t="e">
        <f t="shared" si="55"/>
        <v>#REF!</v>
      </c>
      <c r="AH188" s="765" t="e">
        <f t="shared" si="55"/>
        <v>#REF!</v>
      </c>
      <c r="AI188" s="768"/>
      <c r="AJ188" s="133"/>
    </row>
    <row r="189" spans="1:36" ht="31.5" customHeight="1" thickBot="1">
      <c r="A189" s="1262" t="s">
        <v>427</v>
      </c>
      <c r="B189" s="1263"/>
      <c r="C189" s="1263"/>
      <c r="D189" s="1263"/>
      <c r="E189" s="1263"/>
      <c r="F189" s="1263"/>
      <c r="G189" s="1264"/>
      <c r="H189" s="769"/>
      <c r="I189" s="770">
        <f aca="true" t="shared" si="56" ref="I189:AH189">SUM(I161,I169,I177,I184)</f>
        <v>3304000</v>
      </c>
      <c r="J189" s="770">
        <f t="shared" si="56"/>
        <v>339000</v>
      </c>
      <c r="K189" s="770">
        <f t="shared" si="56"/>
        <v>0</v>
      </c>
      <c r="L189" s="770">
        <f t="shared" si="56"/>
        <v>1188930</v>
      </c>
      <c r="M189" s="770">
        <f t="shared" si="56"/>
        <v>0</v>
      </c>
      <c r="N189" s="770">
        <f t="shared" si="56"/>
        <v>1527930</v>
      </c>
      <c r="O189" s="770">
        <f t="shared" si="56"/>
        <v>4831930</v>
      </c>
      <c r="P189" s="770"/>
      <c r="Q189" s="770"/>
      <c r="R189" s="770"/>
      <c r="S189" s="770"/>
      <c r="T189" s="770">
        <f t="shared" si="56"/>
        <v>0</v>
      </c>
      <c r="U189" s="770"/>
      <c r="V189" s="770">
        <f t="shared" si="56"/>
        <v>0</v>
      </c>
      <c r="W189" s="770">
        <f t="shared" si="56"/>
        <v>0</v>
      </c>
      <c r="X189" s="770">
        <f t="shared" si="56"/>
        <v>0</v>
      </c>
      <c r="Y189" s="770">
        <f t="shared" si="56"/>
        <v>0</v>
      </c>
      <c r="Z189" s="770">
        <f t="shared" si="56"/>
        <v>0</v>
      </c>
      <c r="AA189" s="770">
        <f t="shared" si="56"/>
        <v>0</v>
      </c>
      <c r="AB189" s="770">
        <f t="shared" si="56"/>
        <v>0</v>
      </c>
      <c r="AC189" s="770">
        <f t="shared" si="56"/>
        <v>0</v>
      </c>
      <c r="AD189" s="770">
        <f t="shared" si="56"/>
        <v>0</v>
      </c>
      <c r="AE189" s="770">
        <f t="shared" si="56"/>
        <v>0</v>
      </c>
      <c r="AF189" s="770">
        <f t="shared" si="56"/>
        <v>0</v>
      </c>
      <c r="AG189" s="770" t="e">
        <f t="shared" si="56"/>
        <v>#REF!</v>
      </c>
      <c r="AH189" s="770" t="e">
        <f t="shared" si="56"/>
        <v>#REF!</v>
      </c>
      <c r="AI189" s="771"/>
      <c r="AJ189" s="133"/>
    </row>
    <row r="192" ht="14.25">
      <c r="AH192" s="622" t="e">
        <f>AH189+AH45</f>
        <v>#REF!</v>
      </c>
    </row>
  </sheetData>
  <mergeCells count="173">
    <mergeCell ref="A1:AI1"/>
    <mergeCell ref="A2:A4"/>
    <mergeCell ref="B2:B4"/>
    <mergeCell ref="C2:D4"/>
    <mergeCell ref="E2:E4"/>
    <mergeCell ref="F2:F4"/>
    <mergeCell ref="G2:G4"/>
    <mergeCell ref="H2:H4"/>
    <mergeCell ref="I2:I4"/>
    <mergeCell ref="J2:N2"/>
    <mergeCell ref="AH2:AI4"/>
    <mergeCell ref="AM2:AM3"/>
    <mergeCell ref="J3:N3"/>
    <mergeCell ref="AF3:AF4"/>
    <mergeCell ref="A5:A6"/>
    <mergeCell ref="C5:D5"/>
    <mergeCell ref="AH5:AI5"/>
    <mergeCell ref="C6:D6"/>
    <mergeCell ref="O2:O4"/>
    <mergeCell ref="T2:T4"/>
    <mergeCell ref="V2:V4"/>
    <mergeCell ref="W2:W4"/>
    <mergeCell ref="X2:AF2"/>
    <mergeCell ref="AG2:AG4"/>
    <mergeCell ref="A7:A8"/>
    <mergeCell ref="C7:D7"/>
    <mergeCell ref="AH7:AI7"/>
    <mergeCell ref="C8:D8"/>
    <mergeCell ref="AH8:AI8"/>
    <mergeCell ref="A9:A10"/>
    <mergeCell ref="C9:D9"/>
    <mergeCell ref="AH9:AI9"/>
    <mergeCell ref="C10:D10"/>
    <mergeCell ref="A15:A16"/>
    <mergeCell ref="C15:D15"/>
    <mergeCell ref="AH15:AI15"/>
    <mergeCell ref="C16:D16"/>
    <mergeCell ref="A17:A18"/>
    <mergeCell ref="C17:D17"/>
    <mergeCell ref="AH17:AI17"/>
    <mergeCell ref="C18:D18"/>
    <mergeCell ref="A11:A12"/>
    <mergeCell ref="C11:D11"/>
    <mergeCell ref="AH11:AI11"/>
    <mergeCell ref="C12:D12"/>
    <mergeCell ref="A13:A14"/>
    <mergeCell ref="C13:D13"/>
    <mergeCell ref="AH13:AI13"/>
    <mergeCell ref="C14:D14"/>
    <mergeCell ref="A23:A24"/>
    <mergeCell ref="C23:D23"/>
    <mergeCell ref="AH23:AI23"/>
    <mergeCell ref="C24:D24"/>
    <mergeCell ref="A25:A26"/>
    <mergeCell ref="C25:D25"/>
    <mergeCell ref="AH25:AI25"/>
    <mergeCell ref="C26:D26"/>
    <mergeCell ref="A19:A20"/>
    <mergeCell ref="C19:D19"/>
    <mergeCell ref="AH19:AI19"/>
    <mergeCell ref="C20:D20"/>
    <mergeCell ref="A21:A22"/>
    <mergeCell ref="C21:D21"/>
    <mergeCell ref="AH21:AI21"/>
    <mergeCell ref="C22:D22"/>
    <mergeCell ref="A31:A32"/>
    <mergeCell ref="C31:D31"/>
    <mergeCell ref="AH31:AI31"/>
    <mergeCell ref="C32:D32"/>
    <mergeCell ref="A33:A34"/>
    <mergeCell ref="C33:D33"/>
    <mergeCell ref="AH33:AI33"/>
    <mergeCell ref="C34:D34"/>
    <mergeCell ref="A27:A28"/>
    <mergeCell ref="C27:D27"/>
    <mergeCell ref="AH27:AI27"/>
    <mergeCell ref="C28:D28"/>
    <mergeCell ref="A29:A30"/>
    <mergeCell ref="C29:D29"/>
    <mergeCell ref="AH29:AI29"/>
    <mergeCell ref="C30:D30"/>
    <mergeCell ref="A39:A40"/>
    <mergeCell ref="C39:D39"/>
    <mergeCell ref="AH39:AI39"/>
    <mergeCell ref="C40:D40"/>
    <mergeCell ref="A41:A42"/>
    <mergeCell ref="C41:D41"/>
    <mergeCell ref="AH41:AI41"/>
    <mergeCell ref="C42:D42"/>
    <mergeCell ref="A35:A36"/>
    <mergeCell ref="C35:D35"/>
    <mergeCell ref="AH35:AI35"/>
    <mergeCell ref="C36:D36"/>
    <mergeCell ref="A37:A38"/>
    <mergeCell ref="C37:D37"/>
    <mergeCell ref="AH37:AI37"/>
    <mergeCell ref="C38:D38"/>
    <mergeCell ref="G47:H47"/>
    <mergeCell ref="J47:K47"/>
    <mergeCell ref="G48:H48"/>
    <mergeCell ref="J48:K48"/>
    <mergeCell ref="G49:H49"/>
    <mergeCell ref="J49:K49"/>
    <mergeCell ref="A43:A44"/>
    <mergeCell ref="C43:D43"/>
    <mergeCell ref="AH43:AI43"/>
    <mergeCell ref="C44:D44"/>
    <mergeCell ref="A45:F45"/>
    <mergeCell ref="G46:H46"/>
    <mergeCell ref="J46:K46"/>
    <mergeCell ref="G53:H53"/>
    <mergeCell ref="J53:K53"/>
    <mergeCell ref="G54:H54"/>
    <mergeCell ref="J54:K54"/>
    <mergeCell ref="G55:H55"/>
    <mergeCell ref="J55:K55"/>
    <mergeCell ref="G50:H50"/>
    <mergeCell ref="J50:K50"/>
    <mergeCell ref="G51:H51"/>
    <mergeCell ref="J51:K51"/>
    <mergeCell ref="G52:H52"/>
    <mergeCell ref="J52:K52"/>
    <mergeCell ref="G56:H56"/>
    <mergeCell ref="J56:K56"/>
    <mergeCell ref="A154:A156"/>
    <mergeCell ref="B154:B156"/>
    <mergeCell ref="C154:C156"/>
    <mergeCell ref="D154:D156"/>
    <mergeCell ref="F154:F156"/>
    <mergeCell ref="G154:G156"/>
    <mergeCell ref="H154:H156"/>
    <mergeCell ref="I154:I156"/>
    <mergeCell ref="AG154:AG156"/>
    <mergeCell ref="AH154:AI156"/>
    <mergeCell ref="J155:N155"/>
    <mergeCell ref="AF155:AF156"/>
    <mergeCell ref="A157:A160"/>
    <mergeCell ref="B157:B160"/>
    <mergeCell ref="D157:D158"/>
    <mergeCell ref="D159:D160"/>
    <mergeCell ref="J154:N154"/>
    <mergeCell ref="O154:O156"/>
    <mergeCell ref="T154:T156"/>
    <mergeCell ref="V154:V156"/>
    <mergeCell ref="W154:W156"/>
    <mergeCell ref="X154:AF154"/>
    <mergeCell ref="A169:G169"/>
    <mergeCell ref="A170:A176"/>
    <mergeCell ref="B170:B176"/>
    <mergeCell ref="D170:D171"/>
    <mergeCell ref="C172:C173"/>
    <mergeCell ref="D172:D174"/>
    <mergeCell ref="D175:D176"/>
    <mergeCell ref="A161:G161"/>
    <mergeCell ref="A162:A168"/>
    <mergeCell ref="B162:B168"/>
    <mergeCell ref="C162:C163"/>
    <mergeCell ref="D162:D164"/>
    <mergeCell ref="D165:D166"/>
    <mergeCell ref="D167:D168"/>
    <mergeCell ref="A184:G184"/>
    <mergeCell ref="A185:A187"/>
    <mergeCell ref="B185:B187"/>
    <mergeCell ref="C185:C187"/>
    <mergeCell ref="A188:G188"/>
    <mergeCell ref="A189:G189"/>
    <mergeCell ref="A177:G177"/>
    <mergeCell ref="A178:A183"/>
    <mergeCell ref="B178:B183"/>
    <mergeCell ref="C178:C179"/>
    <mergeCell ref="D178:D179"/>
    <mergeCell ref="D180:D181"/>
    <mergeCell ref="D182:D1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은혜원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경주온정마을</dc:creator>
  <cp:keywords/>
  <dc:description/>
  <cp:lastModifiedBy>USER</cp:lastModifiedBy>
  <cp:lastPrinted>2016-12-29T04:17:15Z</cp:lastPrinted>
  <dcterms:created xsi:type="dcterms:W3CDTF">2006-12-18T12:23:09Z</dcterms:created>
  <dcterms:modified xsi:type="dcterms:W3CDTF">2016-12-30T08:33:20Z</dcterms:modified>
  <cp:category/>
  <cp:version/>
  <cp:contentType/>
  <cp:contentStatus/>
</cp:coreProperties>
</file>