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75" windowWidth="18195" windowHeight="11145" activeTab="0"/>
  </bookViews>
  <sheets>
    <sheet name="전체집계표" sheetId="4" r:id="rId1"/>
    <sheet name="용지조서(이인리)" sheetId="5" r:id="rId2"/>
  </sheets>
  <definedNames>
    <definedName name="_xlnm.Print_Area" localSheetId="1">'용지조서(이인리)'!$A$1:$Q$78</definedName>
  </definedNames>
  <calcPr calcId="145621"/>
</workbook>
</file>

<file path=xl/sharedStrings.xml><?xml version="1.0" encoding="utf-8"?>
<sst xmlns="http://schemas.openxmlformats.org/spreadsheetml/2006/main" count="513" uniqueCount="180">
  <si>
    <t>전 체 집 계 표</t>
  </si>
  <si>
    <t>구분</t>
  </si>
  <si>
    <t>계</t>
  </si>
  <si>
    <t>비 고</t>
  </si>
  <si>
    <t>필지</t>
  </si>
  <si>
    <t>／</t>
  </si>
  <si>
    <t>면적(㎡)</t>
  </si>
  <si>
    <t>전</t>
  </si>
  <si>
    <t>답</t>
  </si>
  <si>
    <t>임야</t>
  </si>
  <si>
    <t>대지</t>
  </si>
  <si>
    <t>도로</t>
  </si>
  <si>
    <t>하천</t>
  </si>
  <si>
    <t>구거</t>
  </si>
  <si>
    <t>제방</t>
  </si>
  <si>
    <t>유지</t>
  </si>
  <si>
    <t>과수원</t>
  </si>
  <si>
    <t>묘지</t>
  </si>
  <si>
    <t>학교</t>
  </si>
  <si>
    <t>창고</t>
  </si>
  <si>
    <t>용     지     조     서</t>
  </si>
  <si>
    <t>국유지1</t>
  </si>
  <si>
    <t>일련</t>
  </si>
  <si>
    <t>지번</t>
  </si>
  <si>
    <t>지목</t>
  </si>
  <si>
    <t>지적</t>
  </si>
  <si>
    <t>편입 면적</t>
  </si>
  <si>
    <t>실제이용상황</t>
  </si>
  <si>
    <t>소    유   자</t>
  </si>
  <si>
    <t>관    계    인</t>
  </si>
  <si>
    <t>비고</t>
  </si>
  <si>
    <t>사유지2</t>
  </si>
  <si>
    <t>번호</t>
  </si>
  <si>
    <t>(㎡)</t>
  </si>
  <si>
    <t>지목</t>
  </si>
  <si>
    <t>면적</t>
  </si>
  <si>
    <t>성명</t>
  </si>
  <si>
    <t>주소</t>
  </si>
  <si>
    <t>권리관계</t>
  </si>
  <si>
    <t>전</t>
  </si>
  <si>
    <t>계</t>
  </si>
  <si>
    <t>답</t>
  </si>
  <si>
    <t>도로</t>
  </si>
  <si>
    <t>과수원</t>
  </si>
  <si>
    <t>총계</t>
  </si>
  <si>
    <t>구역 개수 :</t>
  </si>
  <si>
    <t>임야</t>
  </si>
  <si>
    <t>공장</t>
  </si>
  <si>
    <t>하천</t>
  </si>
  <si>
    <t>학교</t>
  </si>
  <si>
    <t>창고</t>
  </si>
  <si>
    <t>국유지</t>
  </si>
  <si>
    <t>공유지</t>
  </si>
  <si>
    <t>사유지</t>
  </si>
  <si>
    <t>구역 개수:</t>
  </si>
  <si>
    <t>판단</t>
  </si>
  <si>
    <t>국유지편입면적 :</t>
  </si>
  <si>
    <t>국유지구역 개수 :</t>
  </si>
  <si>
    <t>공유지편입면적 :</t>
  </si>
  <si>
    <t>공유지구역 개수 :</t>
  </si>
  <si>
    <t>사유지구역 개수 :</t>
  </si>
  <si>
    <t>미지번</t>
  </si>
  <si>
    <t>공시지가</t>
  </si>
  <si>
    <t>농지법</t>
  </si>
  <si>
    <t>보상비</t>
  </si>
  <si>
    <t>소 계</t>
  </si>
  <si>
    <t>수도용지</t>
  </si>
  <si>
    <t>구거</t>
  </si>
  <si>
    <t>수도
용지</t>
  </si>
  <si>
    <t>국토계획 및 이용에관한
법률에 따른 지역 지구 등</t>
  </si>
  <si>
    <t>다른법령에 따른 지역 지구</t>
  </si>
  <si>
    <t>농지법</t>
  </si>
  <si>
    <t>천1</t>
  </si>
  <si>
    <t>도1</t>
  </si>
  <si>
    <t>사유지</t>
  </si>
  <si>
    <t>전(01)</t>
  </si>
  <si>
    <t>수도용지(21)</t>
  </si>
  <si>
    <t>과수원</t>
  </si>
  <si>
    <t>학교</t>
  </si>
  <si>
    <t>창고</t>
  </si>
  <si>
    <t>임야</t>
  </si>
  <si>
    <t xml:space="preserve">포항시 북구 흥해읍 이인리 </t>
  </si>
  <si>
    <t>전</t>
  </si>
  <si>
    <t>274-3</t>
  </si>
  <si>
    <t>274-8</t>
  </si>
  <si>
    <t>273-2</t>
  </si>
  <si>
    <t>273</t>
  </si>
  <si>
    <t>270-4</t>
  </si>
  <si>
    <t>답</t>
  </si>
  <si>
    <t>270-1</t>
  </si>
  <si>
    <t>270-5</t>
  </si>
  <si>
    <t>899</t>
  </si>
  <si>
    <t>269-2</t>
  </si>
  <si>
    <t>269</t>
  </si>
  <si>
    <t>868-1</t>
  </si>
  <si>
    <t>265-1</t>
  </si>
  <si>
    <t>265</t>
  </si>
  <si>
    <t>265-3</t>
  </si>
  <si>
    <t>883</t>
  </si>
  <si>
    <t>산20-4</t>
  </si>
  <si>
    <t>산19-3</t>
  </si>
  <si>
    <t>구</t>
  </si>
  <si>
    <t>천</t>
  </si>
  <si>
    <t>도</t>
  </si>
  <si>
    <t>263-7</t>
  </si>
  <si>
    <t>264</t>
  </si>
  <si>
    <t>263-6</t>
  </si>
  <si>
    <t>263-8</t>
  </si>
  <si>
    <t>263-1</t>
  </si>
  <si>
    <t>263-9</t>
  </si>
  <si>
    <t>263-2</t>
  </si>
  <si>
    <t>274-6</t>
  </si>
  <si>
    <t>274-9</t>
  </si>
  <si>
    <t>274-7</t>
  </si>
  <si>
    <t>273-1</t>
  </si>
  <si>
    <t>270-6</t>
  </si>
  <si>
    <t>270-2</t>
  </si>
  <si>
    <t>269-1</t>
  </si>
  <si>
    <t>265-4</t>
  </si>
  <si>
    <t>265-2</t>
  </si>
  <si>
    <t>261</t>
  </si>
  <si>
    <t>260-1</t>
  </si>
  <si>
    <t>259</t>
  </si>
  <si>
    <t>산30-2</t>
  </si>
  <si>
    <t>262-2</t>
  </si>
  <si>
    <t>262-4</t>
  </si>
  <si>
    <t>262-5</t>
  </si>
  <si>
    <t>산29-4</t>
  </si>
  <si>
    <t>884-4</t>
  </si>
  <si>
    <t>884-5</t>
  </si>
  <si>
    <t>262-6</t>
  </si>
  <si>
    <t>884</t>
  </si>
  <si>
    <t>포항시</t>
  </si>
  <si>
    <t>ㅇ</t>
  </si>
  <si>
    <t>김복랑</t>
  </si>
  <si>
    <t>용흥동 464
한라타워맨션 301-304</t>
  </si>
  <si>
    <t>정장섭</t>
  </si>
  <si>
    <t>영일군 흥해읍 이인동
597</t>
  </si>
  <si>
    <t>농림수산부</t>
  </si>
  <si>
    <t>김성태</t>
  </si>
  <si>
    <t>건설교통부</t>
  </si>
  <si>
    <t>전3</t>
  </si>
  <si>
    <t>전2</t>
  </si>
  <si>
    <t>답2</t>
  </si>
  <si>
    <t>구1</t>
  </si>
  <si>
    <t>답3</t>
  </si>
  <si>
    <t>도1</t>
  </si>
  <si>
    <t>전3</t>
  </si>
  <si>
    <t>구1</t>
  </si>
  <si>
    <t>임2</t>
  </si>
  <si>
    <t>답2</t>
  </si>
  <si>
    <t>도시지역</t>
  </si>
  <si>
    <t>농림지역</t>
  </si>
  <si>
    <t>진흥구역</t>
  </si>
  <si>
    <t>도로구역</t>
  </si>
  <si>
    <t>자연녹지</t>
  </si>
  <si>
    <t>도로구역
하천구역</t>
  </si>
  <si>
    <t>도시지역</t>
  </si>
  <si>
    <t>김용구</t>
  </si>
  <si>
    <t>새천년대로1123번길 28
101동 705호</t>
  </si>
  <si>
    <t>흥해읍 이인리</t>
  </si>
  <si>
    <r>
      <t>편입면적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:</t>
    </r>
  </si>
  <si>
    <r>
      <t>편입면적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:</t>
    </r>
  </si>
  <si>
    <r>
      <t>답</t>
    </r>
    <r>
      <rPr>
        <b/>
        <sz val="8"/>
        <rFont val="Arial"/>
        <family val="2"/>
      </rPr>
      <t>(02)</t>
    </r>
  </si>
  <si>
    <r>
      <t>도로</t>
    </r>
    <r>
      <rPr>
        <b/>
        <sz val="8"/>
        <rFont val="Arial"/>
        <family val="2"/>
      </rPr>
      <t>(14)</t>
    </r>
  </si>
  <si>
    <r>
      <t>구거</t>
    </r>
    <r>
      <rPr>
        <b/>
        <sz val="8"/>
        <rFont val="Arial"/>
        <family val="2"/>
      </rPr>
      <t>(18)</t>
    </r>
  </si>
  <si>
    <r>
      <t>사유지편입면적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:</t>
    </r>
  </si>
  <si>
    <r>
      <t>하천</t>
    </r>
    <r>
      <rPr>
        <b/>
        <sz val="8"/>
        <rFont val="Arial"/>
        <family val="2"/>
      </rPr>
      <t>(17)</t>
    </r>
  </si>
  <si>
    <r>
      <t>답</t>
    </r>
    <r>
      <rPr>
        <sz val="8"/>
        <rFont val="Arial"/>
        <family val="2"/>
      </rPr>
      <t>(1)</t>
    </r>
  </si>
  <si>
    <r>
      <t>도로</t>
    </r>
    <r>
      <rPr>
        <sz val="8"/>
        <rFont val="Arial"/>
        <family val="2"/>
      </rPr>
      <t>(2)</t>
    </r>
  </si>
  <si>
    <r>
      <t>구</t>
    </r>
    <r>
      <rPr>
        <sz val="8"/>
        <rFont val="Arial"/>
        <family val="2"/>
      </rPr>
      <t>(3)</t>
    </r>
  </si>
  <si>
    <r>
      <t>전</t>
    </r>
    <r>
      <rPr>
        <sz val="8"/>
        <rFont val="Arial"/>
        <family val="2"/>
      </rPr>
      <t>(4)</t>
    </r>
  </si>
  <si>
    <r>
      <t>대지</t>
    </r>
    <r>
      <rPr>
        <sz val="8"/>
        <rFont val="Arial"/>
        <family val="2"/>
      </rPr>
      <t>(5)</t>
    </r>
  </si>
  <si>
    <r>
      <t>과수원</t>
    </r>
    <r>
      <rPr>
        <sz val="8"/>
        <rFont val="Arial"/>
        <family val="2"/>
      </rPr>
      <t>(6)</t>
    </r>
  </si>
  <si>
    <r>
      <t>임야</t>
    </r>
    <r>
      <rPr>
        <sz val="8"/>
        <rFont val="Arial"/>
        <family val="2"/>
      </rPr>
      <t>(7)</t>
    </r>
  </si>
  <si>
    <r>
      <t>공장</t>
    </r>
    <r>
      <rPr>
        <sz val="8"/>
        <rFont val="Arial"/>
        <family val="2"/>
      </rPr>
      <t>(8)</t>
    </r>
  </si>
  <si>
    <r>
      <t>철도</t>
    </r>
    <r>
      <rPr>
        <sz val="8"/>
        <rFont val="Arial"/>
        <family val="2"/>
      </rPr>
      <t>(9)</t>
    </r>
  </si>
  <si>
    <r>
      <t>하천</t>
    </r>
    <r>
      <rPr>
        <sz val="8"/>
        <rFont val="Arial"/>
        <family val="2"/>
      </rPr>
      <t>(11)</t>
    </r>
  </si>
  <si>
    <r>
      <t>유지</t>
    </r>
    <r>
      <rPr>
        <sz val="8"/>
        <rFont val="Arial"/>
        <family val="2"/>
      </rPr>
      <t>(12)</t>
    </r>
  </si>
  <si>
    <r>
      <t>잡종지</t>
    </r>
    <r>
      <rPr>
        <sz val="8"/>
        <rFont val="Arial"/>
        <family val="2"/>
      </rPr>
      <t>(13)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</si>
</sst>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m&quot;월&quot;\ dd&quot;일&quot;"/>
    <numFmt numFmtId="177" formatCode="#,##0_);[Red]\(#,##0\)"/>
    <numFmt numFmtId="178" formatCode="#,##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9"/>
      <name val="돋움"/>
      <family val="3"/>
    </font>
    <font>
      <sz val="11"/>
      <name val="돋움"/>
      <family val="3"/>
    </font>
    <font>
      <sz val="10"/>
      <name val="돋움체"/>
      <family val="3"/>
    </font>
    <font>
      <b/>
      <sz val="9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sz val="10"/>
      <name val="돋움"/>
      <family val="3"/>
    </font>
    <font>
      <sz val="4"/>
      <name val="돋움"/>
      <family val="3"/>
    </font>
    <font>
      <sz val="6"/>
      <name val="돋움"/>
      <family val="3"/>
    </font>
    <font>
      <sz val="9"/>
      <name val="Arial"/>
      <family val="2"/>
    </font>
    <font>
      <b/>
      <sz val="8"/>
      <name val="돋움"/>
      <family val="3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0"/>
      <name val="돋움"/>
      <family val="3"/>
    </font>
    <font>
      <sz val="8"/>
      <name val="Arial"/>
      <family val="2"/>
    </font>
    <font>
      <sz val="10"/>
      <name val="Calibri"/>
      <family val="2"/>
    </font>
    <font>
      <sz val="9"/>
      <color rgb="FF000000"/>
      <name val="돋움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38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2" borderId="1" xfId="20" applyNumberFormat="1" applyFont="1" applyFill="1" applyBorder="1" applyAlignment="1">
      <alignment horizontal="center" vertical="center"/>
    </xf>
    <xf numFmtId="0" fontId="7" fillId="2" borderId="3" xfId="20" applyNumberFormat="1" applyFont="1" applyFill="1" applyBorder="1" applyAlignment="1">
      <alignment horizontal="center" vertical="center"/>
    </xf>
    <xf numFmtId="0" fontId="7" fillId="2" borderId="5" xfId="2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41" fontId="6" fillId="0" borderId="0" xfId="20" applyFont="1" applyFill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1" fontId="11" fillId="0" borderId="0" xfId="20" applyFont="1" applyFill="1" applyBorder="1" applyAlignment="1">
      <alignment horizontal="center" vertical="center"/>
    </xf>
    <xf numFmtId="41" fontId="6" fillId="0" borderId="12" xfId="2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1" fontId="5" fillId="0" borderId="15" xfId="2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41" fontId="5" fillId="0" borderId="19" xfId="20" applyFont="1" applyFill="1" applyBorder="1" applyAlignment="1">
      <alignment horizontal="center" vertical="center" wrapText="1"/>
    </xf>
    <xf numFmtId="41" fontId="5" fillId="0" borderId="13" xfId="2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Continuous" vertical="center" wrapText="1"/>
    </xf>
    <xf numFmtId="41" fontId="5" fillId="0" borderId="13" xfId="0" applyNumberFormat="1" applyFont="1" applyFill="1" applyBorder="1" applyAlignment="1">
      <alignment horizontal="centerContinuous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49" fontId="5" fillId="0" borderId="13" xfId="0" applyNumberFormat="1" applyFont="1" applyFill="1" applyBorder="1" applyAlignment="1">
      <alignment horizontal="centerContinuous" vertical="center"/>
    </xf>
    <xf numFmtId="41" fontId="5" fillId="0" borderId="13" xfId="20" applyFont="1" applyFill="1" applyBorder="1" applyAlignment="1" quotePrefix="1">
      <alignment horizontal="center" vertical="center"/>
    </xf>
    <xf numFmtId="41" fontId="6" fillId="0" borderId="0" xfId="20" applyFont="1" applyAlignment="1">
      <alignment/>
    </xf>
    <xf numFmtId="41" fontId="6" fillId="0" borderId="0" xfId="20" applyFont="1" applyAlignment="1">
      <alignment horizontal="center"/>
    </xf>
    <xf numFmtId="0" fontId="0" fillId="0" borderId="0" xfId="0" applyAlignment="1">
      <alignment horizontal="center"/>
    </xf>
    <xf numFmtId="41" fontId="6" fillId="4" borderId="0" xfId="20" applyFont="1" applyFill="1" applyBorder="1" applyAlignment="1">
      <alignment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Alignment="1">
      <alignment/>
    </xf>
    <xf numFmtId="0" fontId="4" fillId="4" borderId="13" xfId="0" applyNumberFormat="1" applyFont="1" applyFill="1" applyBorder="1" applyAlignment="1">
      <alignment horizontal="centerContinuous" vertical="center"/>
    </xf>
    <xf numFmtId="0" fontId="5" fillId="4" borderId="0" xfId="0" applyNumberFormat="1" applyFont="1" applyFill="1" applyAlignment="1">
      <alignment horizontal="centerContinuous" vertical="center"/>
    </xf>
    <xf numFmtId="41" fontId="4" fillId="4" borderId="13" xfId="20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  <xf numFmtId="0" fontId="4" fillId="4" borderId="13" xfId="20" applyNumberFormat="1" applyFont="1" applyFill="1" applyBorder="1" applyAlignment="1">
      <alignment horizontal="center" vertical="center"/>
    </xf>
    <xf numFmtId="0" fontId="4" fillId="4" borderId="0" xfId="20" applyNumberFormat="1" applyFont="1" applyFill="1" applyBorder="1" applyAlignment="1">
      <alignment horizontal="center" vertical="center"/>
    </xf>
    <xf numFmtId="0" fontId="4" fillId="4" borderId="3" xfId="20" applyNumberFormat="1" applyFont="1" applyFill="1" applyBorder="1" applyAlignment="1">
      <alignment horizontal="centerContinuous" vertical="center"/>
    </xf>
    <xf numFmtId="0" fontId="4" fillId="4" borderId="1" xfId="20" applyNumberFormat="1" applyFont="1" applyFill="1" applyBorder="1" applyAlignment="1">
      <alignment horizontal="centerContinuous" vertical="center"/>
    </xf>
    <xf numFmtId="0" fontId="4" fillId="5" borderId="0" xfId="0" applyNumberFormat="1" applyFont="1" applyFill="1" applyAlignment="1">
      <alignment/>
    </xf>
    <xf numFmtId="0" fontId="4" fillId="5" borderId="0" xfId="0" applyNumberFormat="1" applyFont="1" applyFill="1" applyAlignment="1">
      <alignment horizontal="centerContinuous" vertical="center"/>
    </xf>
    <xf numFmtId="0" fontId="4" fillId="5" borderId="0" xfId="0" applyNumberFormat="1" applyFont="1" applyFill="1" applyBorder="1" applyAlignment="1">
      <alignment horizontal="centerContinuous" vertical="center"/>
    </xf>
    <xf numFmtId="0" fontId="11" fillId="4" borderId="0" xfId="0" applyFont="1" applyFill="1" applyAlignment="1">
      <alignment horizontal="center" vertical="center"/>
    </xf>
    <xf numFmtId="0" fontId="5" fillId="5" borderId="0" xfId="0" applyNumberFormat="1" applyFont="1" applyFill="1" applyAlignment="1">
      <alignment horizontal="centerContinuous" vertical="center"/>
    </xf>
    <xf numFmtId="0" fontId="4" fillId="5" borderId="21" xfId="20" applyNumberFormat="1" applyFont="1" applyFill="1" applyBorder="1" applyAlignment="1">
      <alignment horizontal="centerContinuous" vertical="center"/>
    </xf>
    <xf numFmtId="41" fontId="4" fillId="5" borderId="22" xfId="20" applyFont="1" applyFill="1" applyBorder="1" applyAlignment="1">
      <alignment horizontal="centerContinuous" vertical="center"/>
    </xf>
    <xf numFmtId="41" fontId="4" fillId="5" borderId="23" xfId="20" applyFont="1" applyFill="1" applyBorder="1" applyAlignment="1">
      <alignment horizontal="centerContinuous" vertical="center"/>
    </xf>
    <xf numFmtId="0" fontId="4" fillId="5" borderId="0" xfId="20" applyNumberFormat="1" applyFont="1" applyFill="1" applyBorder="1" applyAlignment="1">
      <alignment vertical="center" wrapText="1"/>
    </xf>
    <xf numFmtId="0" fontId="4" fillId="5" borderId="0" xfId="2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/>
    </xf>
    <xf numFmtId="0" fontId="4" fillId="5" borderId="24" xfId="0" applyNumberFormat="1" applyFont="1" applyFill="1" applyBorder="1" applyAlignment="1">
      <alignment/>
    </xf>
    <xf numFmtId="0" fontId="15" fillId="5" borderId="25" xfId="0" applyNumberFormat="1" applyFont="1" applyFill="1" applyBorder="1" applyAlignment="1">
      <alignment horizontal="centerContinuous" vertical="center"/>
    </xf>
    <xf numFmtId="41" fontId="15" fillId="5" borderId="26" xfId="20" applyFont="1" applyFill="1" applyBorder="1" applyAlignment="1">
      <alignment horizontal="centerContinuous" vertical="center"/>
    </xf>
    <xf numFmtId="41" fontId="15" fillId="5" borderId="18" xfId="20" applyFont="1" applyFill="1" applyBorder="1" applyAlignment="1">
      <alignment horizontal="center" vertical="center"/>
    </xf>
    <xf numFmtId="0" fontId="15" fillId="5" borderId="26" xfId="0" applyNumberFormat="1" applyFont="1" applyFill="1" applyBorder="1" applyAlignment="1">
      <alignment horizontal="centerContinuous" vertical="center"/>
    </xf>
    <xf numFmtId="0" fontId="15" fillId="5" borderId="25" xfId="0" applyNumberFormat="1" applyFont="1" applyFill="1" applyBorder="1" applyAlignment="1">
      <alignment horizontal="centerContinuous" vertical="center" wrapText="1"/>
    </xf>
    <xf numFmtId="0" fontId="15" fillId="5" borderId="18" xfId="0" applyNumberFormat="1" applyFont="1" applyFill="1" applyBorder="1" applyAlignment="1">
      <alignment horizontal="centerContinuous" vertical="center"/>
    </xf>
    <xf numFmtId="0" fontId="6" fillId="5" borderId="26" xfId="0" applyFont="1" applyFill="1" applyBorder="1" applyAlignment="1">
      <alignment horizontal="centerContinuous"/>
    </xf>
    <xf numFmtId="0" fontId="5" fillId="5" borderId="27" xfId="0" applyNumberFormat="1" applyFont="1" applyFill="1" applyBorder="1" applyAlignment="1">
      <alignment horizontal="centerContinuous" vertical="center"/>
    </xf>
    <xf numFmtId="0" fontId="4" fillId="5" borderId="27" xfId="20" applyNumberFormat="1" applyFont="1" applyFill="1" applyBorder="1" applyAlignment="1">
      <alignment horizontal="centerContinuous" vertical="center"/>
    </xf>
    <xf numFmtId="41" fontId="4" fillId="5" borderId="27" xfId="20" applyFont="1" applyFill="1" applyBorder="1" applyAlignment="1">
      <alignment horizontal="centerContinuous" vertical="center"/>
    </xf>
    <xf numFmtId="41" fontId="4" fillId="5" borderId="27" xfId="20" applyFont="1" applyFill="1" applyBorder="1" applyAlignment="1">
      <alignment horizontal="center" vertical="center"/>
    </xf>
    <xf numFmtId="0" fontId="4" fillId="5" borderId="27" xfId="20" applyNumberFormat="1" applyFont="1" applyFill="1" applyBorder="1" applyAlignment="1">
      <alignment horizontal="centerContinuous" vertical="center" wrapText="1"/>
    </xf>
    <xf numFmtId="0" fontId="4" fillId="5" borderId="27" xfId="20" applyNumberFormat="1" applyFont="1" applyFill="1" applyBorder="1" applyAlignment="1">
      <alignment horizontal="center" vertical="center"/>
    </xf>
    <xf numFmtId="0" fontId="5" fillId="5" borderId="0" xfId="0" applyNumberFormat="1" applyFont="1" applyFill="1" applyAlignment="1">
      <alignment/>
    </xf>
    <xf numFmtId="0" fontId="15" fillId="5" borderId="28" xfId="0" applyNumberFormat="1" applyFont="1" applyFill="1" applyBorder="1" applyAlignment="1">
      <alignment horizontal="centerContinuous" vertical="center"/>
    </xf>
    <xf numFmtId="41" fontId="15" fillId="5" borderId="29" xfId="20" applyFont="1" applyFill="1" applyBorder="1" applyAlignment="1">
      <alignment horizontal="centerContinuous" vertical="center"/>
    </xf>
    <xf numFmtId="41" fontId="15" fillId="5" borderId="19" xfId="20" applyFont="1" applyFill="1" applyBorder="1" applyAlignment="1">
      <alignment horizontal="center" vertical="center"/>
    </xf>
    <xf numFmtId="0" fontId="15" fillId="5" borderId="29" xfId="0" applyNumberFormat="1" applyFont="1" applyFill="1" applyBorder="1" applyAlignment="1">
      <alignment horizontal="centerContinuous" vertical="center"/>
    </xf>
    <xf numFmtId="0" fontId="15" fillId="5" borderId="19" xfId="0" applyNumberFormat="1" applyFont="1" applyFill="1" applyBorder="1" applyAlignment="1">
      <alignment horizontal="center" vertical="center" wrapText="1"/>
    </xf>
    <xf numFmtId="0" fontId="15" fillId="5" borderId="19" xfId="0" applyNumberFormat="1" applyFont="1" applyFill="1" applyBorder="1" applyAlignment="1">
      <alignment horizontal="center" vertical="center"/>
    </xf>
    <xf numFmtId="41" fontId="4" fillId="6" borderId="28" xfId="20" applyFont="1" applyFill="1" applyBorder="1" applyAlignment="1">
      <alignment horizontal="centerContinuous" vertical="center"/>
    </xf>
    <xf numFmtId="41" fontId="6" fillId="6" borderId="29" xfId="2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0" fontId="1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centerContinuous" vertical="center"/>
    </xf>
    <xf numFmtId="41" fontId="4" fillId="6" borderId="1" xfId="20" applyNumberFormat="1" applyFont="1" applyFill="1" applyBorder="1" applyAlignment="1">
      <alignment horizontal="centerContinuous" vertical="center"/>
    </xf>
    <xf numFmtId="0" fontId="4" fillId="6" borderId="3" xfId="20" applyNumberFormat="1" applyFont="1" applyFill="1" applyBorder="1" applyAlignment="1">
      <alignment horizontal="centerContinuous" vertical="center"/>
    </xf>
    <xf numFmtId="41" fontId="4" fillId="3" borderId="1" xfId="20" applyNumberFormat="1" applyFont="1" applyFill="1" applyBorder="1" applyAlignment="1">
      <alignment horizontal="centerContinuous" vertical="center"/>
    </xf>
    <xf numFmtId="41" fontId="4" fillId="3" borderId="3" xfId="20" applyFont="1" applyFill="1" applyBorder="1" applyAlignment="1">
      <alignment horizontal="centerContinuous" vertical="center"/>
    </xf>
    <xf numFmtId="41" fontId="4" fillId="3" borderId="13" xfId="20" applyFont="1" applyFill="1" applyBorder="1" applyAlignment="1">
      <alignment horizontal="center" vertical="center"/>
    </xf>
    <xf numFmtId="0" fontId="4" fillId="2" borderId="0" xfId="20" applyNumberFormat="1" applyFont="1" applyFill="1" applyBorder="1" applyAlignment="1">
      <alignment horizontal="centerContinuous" vertical="center"/>
    </xf>
    <xf numFmtId="0" fontId="4" fillId="2" borderId="0" xfId="20" applyNumberFormat="1" applyFont="1" applyFill="1" applyBorder="1" applyAlignment="1">
      <alignment horizontal="center" vertical="center"/>
    </xf>
    <xf numFmtId="0" fontId="4" fillId="2" borderId="30" xfId="2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4" fillId="0" borderId="1" xfId="0" applyNumberFormat="1" applyFont="1" applyBorder="1" applyAlignment="1">
      <alignment horizontal="centerContinuous" vertical="center"/>
    </xf>
    <xf numFmtId="0" fontId="4" fillId="0" borderId="3" xfId="0" applyNumberFormat="1" applyFont="1" applyBorder="1" applyAlignment="1">
      <alignment horizontal="centerContinuous" vertical="center"/>
    </xf>
    <xf numFmtId="0" fontId="5" fillId="8" borderId="0" xfId="0" applyFont="1" applyFill="1" applyAlignment="1">
      <alignment horizontal="left" vertical="center"/>
    </xf>
    <xf numFmtId="0" fontId="5" fillId="8" borderId="0" xfId="0" applyFont="1" applyFill="1" applyAlignment="1">
      <alignment horizontal="centerContinuous" vertical="center"/>
    </xf>
    <xf numFmtId="0" fontId="4" fillId="6" borderId="1" xfId="0" applyNumberFormat="1" applyFont="1" applyFill="1" applyBorder="1" applyAlignment="1">
      <alignment horizontal="centerContinuous" vertical="center"/>
    </xf>
    <xf numFmtId="0" fontId="4" fillId="6" borderId="3" xfId="0" applyNumberFormat="1" applyFont="1" applyFill="1" applyBorder="1" applyAlignment="1">
      <alignment horizontal="centerContinuous" vertical="center"/>
    </xf>
    <xf numFmtId="0" fontId="4" fillId="9" borderId="1" xfId="20" applyNumberFormat="1" applyFont="1" applyFill="1" applyBorder="1" applyAlignment="1">
      <alignment horizontal="centerContinuous" vertical="center"/>
    </xf>
    <xf numFmtId="41" fontId="4" fillId="9" borderId="3" xfId="20" applyFont="1" applyFill="1" applyBorder="1" applyAlignment="1">
      <alignment horizontal="centerContinuous" vertical="center"/>
    </xf>
    <xf numFmtId="41" fontId="4" fillId="9" borderId="13" xfId="20" applyFont="1" applyFill="1" applyBorder="1" applyAlignment="1">
      <alignment horizontal="center" vertical="center"/>
    </xf>
    <xf numFmtId="0" fontId="4" fillId="9" borderId="3" xfId="20" applyNumberFormat="1" applyFont="1" applyFill="1" applyBorder="1" applyAlignment="1">
      <alignment horizontal="centerContinuous" vertical="center"/>
    </xf>
    <xf numFmtId="0" fontId="4" fillId="9" borderId="3" xfId="20" applyNumberFormat="1" applyFont="1" applyFill="1" applyBorder="1" applyAlignment="1">
      <alignment horizontal="center" vertical="center"/>
    </xf>
    <xf numFmtId="0" fontId="4" fillId="9" borderId="13" xfId="20" applyNumberFormat="1" applyFont="1" applyFill="1" applyBorder="1" applyAlignment="1">
      <alignment horizontal="center" vertical="center"/>
    </xf>
    <xf numFmtId="0" fontId="5" fillId="10" borderId="0" xfId="0" applyFont="1" applyFill="1" applyAlignment="1">
      <alignment horizontal="left" vertical="center"/>
    </xf>
    <xf numFmtId="0" fontId="5" fillId="10" borderId="0" xfId="0" applyFont="1" applyFill="1" applyAlignment="1">
      <alignment horizontal="centerContinuous" vertical="center"/>
    </xf>
    <xf numFmtId="0" fontId="4" fillId="9" borderId="13" xfId="20" applyNumberFormat="1" applyFont="1" applyFill="1" applyBorder="1" applyAlignment="1">
      <alignment horizontal="centerContinuous" vertical="center"/>
    </xf>
    <xf numFmtId="41" fontId="4" fillId="9" borderId="13" xfId="20" applyFont="1" applyFill="1" applyBorder="1" applyAlignment="1">
      <alignment horizontal="centerContinuous" vertical="center"/>
    </xf>
    <xf numFmtId="0" fontId="4" fillId="6" borderId="1" xfId="20" applyNumberFormat="1" applyFont="1" applyFill="1" applyBorder="1" applyAlignment="1">
      <alignment horizontal="centerContinuous" vertical="center"/>
    </xf>
    <xf numFmtId="41" fontId="4" fillId="6" borderId="1" xfId="20" applyFont="1" applyFill="1" applyBorder="1" applyAlignment="1">
      <alignment horizontal="centerContinuous" vertical="center"/>
    </xf>
    <xf numFmtId="41" fontId="6" fillId="6" borderId="3" xfId="20" applyFont="1" applyFill="1" applyBorder="1" applyAlignment="1">
      <alignment horizontal="center" vertical="center"/>
    </xf>
    <xf numFmtId="41" fontId="6" fillId="0" borderId="0" xfId="20" applyFont="1" applyFill="1" applyBorder="1" applyAlignment="1">
      <alignment/>
    </xf>
    <xf numFmtId="0" fontId="15" fillId="5" borderId="31" xfId="0" applyNumberFormat="1" applyFont="1" applyFill="1" applyBorder="1" applyAlignment="1">
      <alignment horizontal="centerContinuous" vertical="center"/>
    </xf>
    <xf numFmtId="0" fontId="15" fillId="5" borderId="30" xfId="0" applyNumberFormat="1" applyFont="1" applyFill="1" applyBorder="1" applyAlignment="1">
      <alignment horizontal="centerContinuous" vertical="center"/>
    </xf>
    <xf numFmtId="0" fontId="4" fillId="6" borderId="0" xfId="20" applyNumberFormat="1" applyFont="1" applyFill="1" applyBorder="1" applyAlignment="1">
      <alignment horizontal="center" vertical="center"/>
    </xf>
    <xf numFmtId="0" fontId="4" fillId="9" borderId="2" xfId="20" applyNumberFormat="1" applyFont="1" applyFill="1" applyBorder="1" applyAlignment="1">
      <alignment horizontal="centerContinuous" vertical="center"/>
    </xf>
    <xf numFmtId="0" fontId="4" fillId="4" borderId="13" xfId="20" applyNumberFormat="1" applyFont="1" applyFill="1" applyBorder="1" applyAlignment="1">
      <alignment horizontal="center" vertical="center" wrapText="1"/>
    </xf>
    <xf numFmtId="0" fontId="15" fillId="5" borderId="18" xfId="0" applyNumberFormat="1" applyFont="1" applyFill="1" applyBorder="1" applyAlignment="1">
      <alignment horizontal="center" vertical="center"/>
    </xf>
    <xf numFmtId="0" fontId="4" fillId="5" borderId="21" xfId="2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7" fontId="7" fillId="2" borderId="1" xfId="2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177" fontId="7" fillId="2" borderId="3" xfId="20" applyNumberFormat="1" applyFont="1" applyFill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41" fontId="5" fillId="0" borderId="13" xfId="20" applyNumberFormat="1" applyFont="1" applyFill="1" applyBorder="1" applyAlignment="1">
      <alignment horizontal="center" vertical="center"/>
    </xf>
    <xf numFmtId="41" fontId="5" fillId="0" borderId="13" xfId="20" applyNumberFormat="1" applyFont="1" applyFill="1" applyBorder="1" applyAlignment="1" quotePrefix="1">
      <alignment horizontal="center" vertical="center"/>
    </xf>
    <xf numFmtId="0" fontId="15" fillId="5" borderId="28" xfId="0" applyNumberFormat="1" applyFont="1" applyFill="1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1" fontId="4" fillId="0" borderId="0" xfId="0" applyNumberFormat="1" applyFont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1" fontId="5" fillId="0" borderId="13" xfId="2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4" borderId="1" xfId="20" applyNumberFormat="1" applyFont="1" applyFill="1" applyBorder="1" applyAlignment="1">
      <alignment horizontal="center" vertical="center"/>
    </xf>
    <xf numFmtId="0" fontId="4" fillId="4" borderId="3" xfId="2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Continuous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Continuous"/>
    </xf>
    <xf numFmtId="0" fontId="17" fillId="0" borderId="2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4" borderId="0" xfId="0" applyFont="1" applyFill="1" applyAlignment="1">
      <alignment/>
    </xf>
    <xf numFmtId="0" fontId="17" fillId="4" borderId="0" xfId="0" applyFont="1" applyFill="1" applyBorder="1" applyAlignment="1">
      <alignment/>
    </xf>
    <xf numFmtId="0" fontId="17" fillId="4" borderId="0" xfId="0" applyFont="1" applyFill="1" applyBorder="1" applyAlignment="1">
      <alignment wrapText="1"/>
    </xf>
    <xf numFmtId="0" fontId="17" fillId="0" borderId="0" xfId="0" applyFont="1" applyAlignment="1">
      <alignment/>
    </xf>
    <xf numFmtId="41" fontId="15" fillId="4" borderId="13" xfId="20" applyFont="1" applyFill="1" applyBorder="1" applyAlignment="1">
      <alignment horizontal="centerContinuous" vertical="center"/>
    </xf>
    <xf numFmtId="0" fontId="15" fillId="4" borderId="13" xfId="0" applyNumberFormat="1" applyFont="1" applyFill="1" applyBorder="1" applyAlignment="1">
      <alignment horizontal="centerContinuous" vertical="center"/>
    </xf>
    <xf numFmtId="0" fontId="15" fillId="4" borderId="13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Continuous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5" borderId="2" xfId="20" applyNumberFormat="1" applyFont="1" applyFill="1" applyBorder="1" applyAlignment="1">
      <alignment horizontal="centerContinuous" vertical="center"/>
    </xf>
    <xf numFmtId="41" fontId="4" fillId="5" borderId="2" xfId="20" applyFont="1" applyFill="1" applyBorder="1" applyAlignment="1">
      <alignment horizontal="centerContinuous" vertical="center"/>
    </xf>
    <xf numFmtId="0" fontId="4" fillId="5" borderId="33" xfId="20" applyNumberFormat="1" applyFont="1" applyFill="1" applyBorder="1" applyAlignment="1">
      <alignment vertical="center" wrapText="1"/>
    </xf>
    <xf numFmtId="41" fontId="4" fillId="5" borderId="33" xfId="20" applyFont="1" applyFill="1" applyBorder="1" applyAlignment="1">
      <alignment horizontal="centerContinuous" vertical="center"/>
    </xf>
    <xf numFmtId="0" fontId="4" fillId="5" borderId="33" xfId="20" applyNumberFormat="1" applyFont="1" applyFill="1" applyBorder="1" applyAlignment="1">
      <alignment horizontal="centerContinuous" vertical="center"/>
    </xf>
    <xf numFmtId="0" fontId="4" fillId="5" borderId="33" xfId="20" applyNumberFormat="1" applyFont="1" applyFill="1" applyBorder="1" applyAlignment="1">
      <alignment horizontal="center" vertical="center"/>
    </xf>
    <xf numFmtId="0" fontId="4" fillId="5" borderId="1" xfId="20" applyNumberFormat="1" applyFont="1" applyFill="1" applyBorder="1" applyAlignment="1">
      <alignment horizontal="centerContinuous" vertical="center"/>
    </xf>
    <xf numFmtId="41" fontId="4" fillId="5" borderId="3" xfId="20" applyFont="1" applyFill="1" applyBorder="1" applyAlignment="1">
      <alignment horizontal="centerContinuous" vertical="center"/>
    </xf>
    <xf numFmtId="41" fontId="4" fillId="5" borderId="1" xfId="20" applyNumberFormat="1" applyFont="1" applyFill="1" applyBorder="1" applyAlignment="1">
      <alignment horizontal="center" vertical="center" wrapText="1"/>
    </xf>
    <xf numFmtId="41" fontId="4" fillId="5" borderId="13" xfId="20" applyFont="1" applyFill="1" applyBorder="1" applyAlignment="1">
      <alignment horizontal="centerContinuous" vertical="center"/>
    </xf>
    <xf numFmtId="0" fontId="17" fillId="5" borderId="3" xfId="0" applyFont="1" applyFill="1" applyBorder="1" applyAlignment="1">
      <alignment horizontal="centerContinuous"/>
    </xf>
    <xf numFmtId="0" fontId="17" fillId="5" borderId="0" xfId="0" applyFont="1" applyFill="1" applyBorder="1" applyAlignment="1">
      <alignment horizontal="centerContinuous"/>
    </xf>
    <xf numFmtId="0" fontId="4" fillId="5" borderId="13" xfId="0" applyFont="1" applyFill="1" applyBorder="1" applyAlignment="1">
      <alignment horizontal="center" vertical="center"/>
    </xf>
    <xf numFmtId="0" fontId="4" fillId="5" borderId="34" xfId="20" applyNumberFormat="1" applyFont="1" applyFill="1" applyBorder="1" applyAlignment="1">
      <alignment horizontal="center" vertical="center"/>
    </xf>
    <xf numFmtId="0" fontId="4" fillId="5" borderId="0" xfId="20" applyNumberFormat="1" applyFont="1" applyFill="1" applyBorder="1" applyAlignment="1">
      <alignment horizontal="right" vertical="center" wrapText="1"/>
    </xf>
    <xf numFmtId="0" fontId="17" fillId="5" borderId="22" xfId="0" applyFont="1" applyFill="1" applyBorder="1" applyAlignment="1">
      <alignment horizontal="centerContinuous"/>
    </xf>
    <xf numFmtId="0" fontId="4" fillId="5" borderId="23" xfId="0" applyFont="1" applyFill="1" applyBorder="1" applyAlignment="1">
      <alignment horizontal="center" vertical="center"/>
    </xf>
    <xf numFmtId="0" fontId="18" fillId="5" borderId="0" xfId="20" applyNumberFormat="1" applyFont="1" applyFill="1" applyBorder="1" applyAlignment="1">
      <alignment horizontal="right" vertical="center"/>
    </xf>
    <xf numFmtId="0" fontId="18" fillId="5" borderId="0" xfId="0" applyNumberFormat="1" applyFont="1" applyFill="1" applyBorder="1" applyAlignment="1">
      <alignment horizontal="centerContinuous" vertical="center"/>
    </xf>
    <xf numFmtId="41" fontId="4" fillId="5" borderId="13" xfId="20" applyFont="1" applyFill="1" applyBorder="1" applyAlignment="1">
      <alignment horizontal="center" vertical="center"/>
    </xf>
    <xf numFmtId="0" fontId="4" fillId="5" borderId="3" xfId="20" applyNumberFormat="1" applyFont="1" applyFill="1" applyBorder="1" applyAlignment="1">
      <alignment horizontal="centerContinuous" vertical="center"/>
    </xf>
    <xf numFmtId="0" fontId="4" fillId="5" borderId="13" xfId="20" applyNumberFormat="1" applyFont="1" applyFill="1" applyBorder="1" applyAlignment="1">
      <alignment horizontal="centerContinuous" vertical="center"/>
    </xf>
    <xf numFmtId="0" fontId="4" fillId="5" borderId="1" xfId="20" applyNumberFormat="1" applyFont="1" applyFill="1" applyBorder="1" applyAlignment="1">
      <alignment horizontal="centerContinuous" vertical="center" wrapText="1"/>
    </xf>
    <xf numFmtId="0" fontId="6" fillId="5" borderId="3" xfId="0" applyFont="1" applyFill="1" applyBorder="1" applyAlignment="1">
      <alignment horizontal="centerContinuous"/>
    </xf>
    <xf numFmtId="41" fontId="4" fillId="5" borderId="23" xfId="20" applyFont="1" applyFill="1" applyBorder="1" applyAlignment="1">
      <alignment horizontal="center" vertical="center"/>
    </xf>
    <xf numFmtId="0" fontId="4" fillId="5" borderId="22" xfId="20" applyNumberFormat="1" applyFont="1" applyFill="1" applyBorder="1" applyAlignment="1">
      <alignment horizontal="centerContinuous" vertical="center"/>
    </xf>
    <xf numFmtId="0" fontId="4" fillId="5" borderId="23" xfId="20" applyNumberFormat="1" applyFont="1" applyFill="1" applyBorder="1" applyAlignment="1">
      <alignment horizontal="centerContinuous" vertical="center"/>
    </xf>
    <xf numFmtId="0" fontId="4" fillId="5" borderId="21" xfId="20" applyNumberFormat="1" applyFont="1" applyFill="1" applyBorder="1" applyAlignment="1">
      <alignment vertical="center" wrapText="1"/>
    </xf>
    <xf numFmtId="0" fontId="6" fillId="5" borderId="22" xfId="0" applyFont="1" applyFill="1" applyBorder="1" applyAlignment="1">
      <alignment horizontal="centerContinuous"/>
    </xf>
    <xf numFmtId="0" fontId="5" fillId="5" borderId="35" xfId="0" applyNumberFormat="1" applyFont="1" applyFill="1" applyBorder="1" applyAlignment="1">
      <alignment horizontal="centerContinuous" vertical="center"/>
    </xf>
    <xf numFmtId="0" fontId="4" fillId="5" borderId="36" xfId="20" applyNumberFormat="1" applyFont="1" applyFill="1" applyBorder="1" applyAlignment="1">
      <alignment horizontal="centerContinuous" vertical="center"/>
    </xf>
    <xf numFmtId="41" fontId="4" fillId="5" borderId="37" xfId="20" applyFont="1" applyFill="1" applyBorder="1" applyAlignment="1">
      <alignment horizontal="centerContinuous" vertical="center"/>
    </xf>
    <xf numFmtId="41" fontId="4" fillId="5" borderId="38" xfId="20" applyFont="1" applyFill="1" applyBorder="1" applyAlignment="1">
      <alignment horizontal="center" vertical="center"/>
    </xf>
    <xf numFmtId="0" fontId="4" fillId="5" borderId="37" xfId="20" applyNumberFormat="1" applyFont="1" applyFill="1" applyBorder="1" applyAlignment="1">
      <alignment horizontal="centerContinuous" vertical="center"/>
    </xf>
    <xf numFmtId="0" fontId="4" fillId="5" borderId="38" xfId="20" applyNumberFormat="1" applyFont="1" applyFill="1" applyBorder="1" applyAlignment="1">
      <alignment horizontal="centerContinuous" vertical="center"/>
    </xf>
    <xf numFmtId="0" fontId="4" fillId="5" borderId="39" xfId="20" applyNumberFormat="1" applyFont="1" applyFill="1" applyBorder="1" applyAlignment="1">
      <alignment horizontal="centerContinuous" vertical="center"/>
    </xf>
    <xf numFmtId="0" fontId="4" fillId="5" borderId="36" xfId="20" applyNumberFormat="1" applyFont="1" applyFill="1" applyBorder="1" applyAlignment="1">
      <alignment horizontal="centerContinuous" vertical="center" wrapText="1"/>
    </xf>
    <xf numFmtId="0" fontId="6" fillId="5" borderId="37" xfId="0" applyFont="1" applyFill="1" applyBorder="1" applyAlignment="1">
      <alignment horizontal="centerContinuous"/>
    </xf>
    <xf numFmtId="0" fontId="5" fillId="5" borderId="40" xfId="0" applyNumberFormat="1" applyFont="1" applyFill="1" applyBorder="1" applyAlignment="1">
      <alignment horizontal="centerContinuous" vertical="center"/>
    </xf>
    <xf numFmtId="0" fontId="4" fillId="5" borderId="41" xfId="20" applyNumberFormat="1" applyFont="1" applyFill="1" applyBorder="1" applyAlignment="1">
      <alignment horizontal="centerContinuous" vertical="center"/>
    </xf>
    <xf numFmtId="41" fontId="4" fillId="5" borderId="42" xfId="20" applyFont="1" applyFill="1" applyBorder="1" applyAlignment="1">
      <alignment horizontal="centerContinuous" vertical="center"/>
    </xf>
    <xf numFmtId="41" fontId="4" fillId="5" borderId="43" xfId="20" applyFont="1" applyFill="1" applyBorder="1" applyAlignment="1">
      <alignment horizontal="center" vertical="center"/>
    </xf>
    <xf numFmtId="0" fontId="4" fillId="5" borderId="42" xfId="20" applyNumberFormat="1" applyFont="1" applyFill="1" applyBorder="1" applyAlignment="1">
      <alignment horizontal="centerContinuous" vertical="center"/>
    </xf>
    <xf numFmtId="0" fontId="4" fillId="5" borderId="43" xfId="20" applyNumberFormat="1" applyFont="1" applyFill="1" applyBorder="1" applyAlignment="1">
      <alignment horizontal="centerContinuous" vertical="center"/>
    </xf>
    <xf numFmtId="0" fontId="4" fillId="5" borderId="44" xfId="20" applyNumberFormat="1" applyFont="1" applyFill="1" applyBorder="1" applyAlignment="1">
      <alignment horizontal="centerContinuous" vertical="center"/>
    </xf>
    <xf numFmtId="0" fontId="4" fillId="5" borderId="41" xfId="20" applyNumberFormat="1" applyFont="1" applyFill="1" applyBorder="1" applyAlignment="1">
      <alignment horizontal="centerContinuous" vertical="center" wrapText="1"/>
    </xf>
    <xf numFmtId="0" fontId="6" fillId="5" borderId="42" xfId="0" applyFont="1" applyFill="1" applyBorder="1" applyAlignment="1">
      <alignment horizontal="centerContinuous"/>
    </xf>
    <xf numFmtId="0" fontId="4" fillId="5" borderId="28" xfId="20" applyNumberFormat="1" applyFont="1" applyFill="1" applyBorder="1" applyAlignment="1">
      <alignment horizontal="centerContinuous" vertical="center"/>
    </xf>
    <xf numFmtId="41" fontId="4" fillId="5" borderId="29" xfId="20" applyFont="1" applyFill="1" applyBorder="1" applyAlignment="1">
      <alignment horizontal="centerContinuous" vertical="center"/>
    </xf>
    <xf numFmtId="41" fontId="4" fillId="5" borderId="19" xfId="20" applyFont="1" applyFill="1" applyBorder="1" applyAlignment="1">
      <alignment horizontal="center" vertical="center"/>
    </xf>
    <xf numFmtId="0" fontId="4" fillId="5" borderId="29" xfId="20" applyNumberFormat="1" applyFont="1" applyFill="1" applyBorder="1" applyAlignment="1">
      <alignment horizontal="centerContinuous" vertical="center"/>
    </xf>
    <xf numFmtId="0" fontId="4" fillId="5" borderId="19" xfId="20" applyNumberFormat="1" applyFont="1" applyFill="1" applyBorder="1" applyAlignment="1">
      <alignment horizontal="centerContinuous" vertical="center"/>
    </xf>
    <xf numFmtId="0" fontId="4" fillId="5" borderId="30" xfId="20" applyNumberFormat="1" applyFont="1" applyFill="1" applyBorder="1" applyAlignment="1">
      <alignment horizontal="centerContinuous" vertical="center"/>
    </xf>
    <xf numFmtId="0" fontId="4" fillId="5" borderId="28" xfId="20" applyNumberFormat="1" applyFont="1" applyFill="1" applyBorder="1" applyAlignment="1">
      <alignment horizontal="centerContinuous" vertical="center" wrapText="1"/>
    </xf>
    <xf numFmtId="0" fontId="6" fillId="5" borderId="29" xfId="0" applyFont="1" applyFill="1" applyBorder="1" applyAlignment="1">
      <alignment horizontal="centerContinuous"/>
    </xf>
    <xf numFmtId="0" fontId="4" fillId="5" borderId="45" xfId="20" applyNumberFormat="1" applyFont="1" applyFill="1" applyBorder="1" applyAlignment="1">
      <alignment horizontal="centerContinuous" vertical="center"/>
    </xf>
    <xf numFmtId="0" fontId="4" fillId="5" borderId="21" xfId="20" applyNumberFormat="1" applyFont="1" applyFill="1" applyBorder="1" applyAlignment="1">
      <alignment horizontal="centerContinuous" vertical="center" wrapText="1"/>
    </xf>
    <xf numFmtId="0" fontId="4" fillId="5" borderId="8" xfId="20" applyNumberFormat="1" applyFont="1" applyFill="1" applyBorder="1" applyAlignment="1">
      <alignment horizontal="centerContinuous" vertical="center"/>
    </xf>
    <xf numFmtId="0" fontId="6" fillId="5" borderId="10" xfId="0" applyFont="1" applyFill="1" applyBorder="1" applyAlignment="1">
      <alignment horizontal="centerContinuous"/>
    </xf>
    <xf numFmtId="0" fontId="4" fillId="5" borderId="27" xfId="0" applyNumberFormat="1" applyFont="1" applyFill="1" applyBorder="1" applyAlignment="1">
      <alignment horizontal="centerContinuous" vertical="center"/>
    </xf>
    <xf numFmtId="0" fontId="4" fillId="5" borderId="13" xfId="20" applyNumberFormat="1" applyFont="1" applyFill="1" applyBorder="1" applyAlignment="1">
      <alignment horizontal="center" vertical="center" wrapText="1"/>
    </xf>
    <xf numFmtId="0" fontId="4" fillId="5" borderId="13" xfId="20" applyNumberFormat="1" applyFont="1" applyFill="1" applyBorder="1" applyAlignment="1">
      <alignment vertical="center" wrapText="1"/>
    </xf>
    <xf numFmtId="0" fontId="4" fillId="5" borderId="13" xfId="20" applyNumberFormat="1" applyFont="1" applyFill="1" applyBorder="1" applyAlignment="1">
      <alignment horizontal="center" vertical="center"/>
    </xf>
    <xf numFmtId="0" fontId="4" fillId="5" borderId="23" xfId="20" applyNumberFormat="1" applyFont="1" applyFill="1" applyBorder="1" applyAlignment="1">
      <alignment horizontal="center" vertical="center" wrapText="1"/>
    </xf>
    <xf numFmtId="0" fontId="4" fillId="5" borderId="23" xfId="20" applyNumberFormat="1" applyFont="1" applyFill="1" applyBorder="1" applyAlignment="1">
      <alignment vertical="center" wrapText="1"/>
    </xf>
    <xf numFmtId="0" fontId="4" fillId="5" borderId="23" xfId="20" applyNumberFormat="1" applyFont="1" applyFill="1" applyBorder="1" applyAlignment="1">
      <alignment horizontal="center" vertical="center"/>
    </xf>
    <xf numFmtId="0" fontId="4" fillId="5" borderId="38" xfId="20" applyNumberFormat="1" applyFont="1" applyFill="1" applyBorder="1" applyAlignment="1">
      <alignment vertical="center" wrapText="1"/>
    </xf>
    <xf numFmtId="0" fontId="4" fillId="5" borderId="38" xfId="20" applyNumberFormat="1" applyFont="1" applyFill="1" applyBorder="1" applyAlignment="1">
      <alignment horizontal="center" vertical="center" wrapText="1"/>
    </xf>
    <xf numFmtId="0" fontId="4" fillId="5" borderId="38" xfId="20" applyNumberFormat="1" applyFont="1" applyFill="1" applyBorder="1" applyAlignment="1">
      <alignment horizontal="center" vertical="center"/>
    </xf>
    <xf numFmtId="0" fontId="4" fillId="5" borderId="43" xfId="20" applyNumberFormat="1" applyFont="1" applyFill="1" applyBorder="1" applyAlignment="1">
      <alignment vertical="center" wrapText="1"/>
    </xf>
    <xf numFmtId="0" fontId="4" fillId="5" borderId="43" xfId="20" applyNumberFormat="1" applyFont="1" applyFill="1" applyBorder="1" applyAlignment="1">
      <alignment horizontal="center" vertical="center" wrapText="1"/>
    </xf>
    <xf numFmtId="0" fontId="4" fillId="5" borderId="43" xfId="20" applyNumberFormat="1" applyFont="1" applyFill="1" applyBorder="1" applyAlignment="1">
      <alignment horizontal="center" vertical="center"/>
    </xf>
    <xf numFmtId="0" fontId="4" fillId="5" borderId="19" xfId="20" applyNumberFormat="1" applyFont="1" applyFill="1" applyBorder="1" applyAlignment="1">
      <alignment vertical="center" wrapText="1"/>
    </xf>
    <xf numFmtId="0" fontId="4" fillId="5" borderId="19" xfId="20" applyNumberFormat="1" applyFont="1" applyFill="1" applyBorder="1" applyAlignment="1">
      <alignment horizontal="center" vertical="center" wrapText="1"/>
    </xf>
    <xf numFmtId="0" fontId="4" fillId="5" borderId="19" xfId="20" applyNumberFormat="1" applyFont="1" applyFill="1" applyBorder="1" applyAlignment="1">
      <alignment horizontal="center" vertical="center"/>
    </xf>
    <xf numFmtId="0" fontId="5" fillId="5" borderId="12" xfId="0" applyNumberFormat="1" applyFont="1" applyFill="1" applyBorder="1" applyAlignment="1">
      <alignment horizontal="centerContinuous" vertical="center"/>
    </xf>
    <xf numFmtId="41" fontId="4" fillId="5" borderId="10" xfId="20" applyFont="1" applyFill="1" applyBorder="1" applyAlignment="1">
      <alignment horizontal="centerContinuous" vertical="center"/>
    </xf>
    <xf numFmtId="41" fontId="4" fillId="5" borderId="45" xfId="20" applyFont="1" applyFill="1" applyBorder="1" applyAlignment="1">
      <alignment horizontal="center" vertical="center"/>
    </xf>
    <xf numFmtId="0" fontId="4" fillId="5" borderId="10" xfId="20" applyNumberFormat="1" applyFont="1" applyFill="1" applyBorder="1" applyAlignment="1">
      <alignment horizontal="centerContinuous" vertical="center"/>
    </xf>
    <xf numFmtId="0" fontId="4" fillId="5" borderId="45" xfId="20" applyNumberFormat="1" applyFont="1" applyFill="1" applyBorder="1" applyAlignment="1">
      <alignment vertical="center" wrapText="1"/>
    </xf>
    <xf numFmtId="0" fontId="4" fillId="5" borderId="45" xfId="20" applyNumberFormat="1" applyFont="1" applyFill="1" applyBorder="1" applyAlignment="1">
      <alignment horizontal="center" vertical="center" wrapText="1"/>
    </xf>
    <xf numFmtId="0" fontId="4" fillId="5" borderId="45" xfId="20" applyNumberFormat="1" applyFont="1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left" vertical="center"/>
    </xf>
    <xf numFmtId="0" fontId="17" fillId="6" borderId="28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4" fillId="2" borderId="2" xfId="20" applyNumberFormat="1" applyFont="1" applyFill="1" applyBorder="1" applyAlignment="1">
      <alignment horizontal="centerContinuous" vertical="center"/>
    </xf>
    <xf numFmtId="41" fontId="4" fillId="2" borderId="2" xfId="20" applyFont="1" applyFill="1" applyBorder="1" applyAlignment="1">
      <alignment horizontal="centerContinuous" vertical="center"/>
    </xf>
    <xf numFmtId="41" fontId="4" fillId="2" borderId="2" xfId="20" applyFont="1" applyFill="1" applyBorder="1" applyAlignment="1">
      <alignment horizontal="center" vertical="center"/>
    </xf>
    <xf numFmtId="0" fontId="4" fillId="2" borderId="33" xfId="20" applyNumberFormat="1" applyFont="1" applyFill="1" applyBorder="1" applyAlignment="1">
      <alignment horizontal="centerContinuous" vertical="center"/>
    </xf>
    <xf numFmtId="0" fontId="4" fillId="2" borderId="33" xfId="2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Continuous" vertical="center"/>
    </xf>
    <xf numFmtId="0" fontId="4" fillId="2" borderId="13" xfId="0" applyNumberFormat="1" applyFont="1" applyFill="1" applyBorder="1" applyAlignment="1">
      <alignment horizontal="centerContinuous" vertical="center"/>
    </xf>
    <xf numFmtId="41" fontId="4" fillId="2" borderId="13" xfId="20" applyFont="1" applyFill="1" applyBorder="1" applyAlignment="1">
      <alignment horizontal="centerContinuous" vertical="center"/>
    </xf>
    <xf numFmtId="41" fontId="4" fillId="0" borderId="13" xfId="2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Continuous" vertical="center"/>
    </xf>
    <xf numFmtId="0" fontId="4" fillId="0" borderId="13" xfId="0" applyNumberFormat="1" applyFont="1" applyBorder="1" applyAlignment="1">
      <alignment horizontal="center" vertical="center"/>
    </xf>
    <xf numFmtId="0" fontId="4" fillId="12" borderId="1" xfId="20" applyNumberFormat="1" applyFont="1" applyFill="1" applyBorder="1" applyAlignment="1">
      <alignment horizontal="centerContinuous" vertical="center"/>
    </xf>
    <xf numFmtId="41" fontId="4" fillId="12" borderId="3" xfId="20" applyFont="1" applyFill="1" applyBorder="1" applyAlignment="1">
      <alignment horizontal="centerContinuous" vertical="center"/>
    </xf>
    <xf numFmtId="41" fontId="4" fillId="12" borderId="13" xfId="20" applyFont="1" applyFill="1" applyBorder="1" applyAlignment="1">
      <alignment horizontal="center" vertical="center"/>
    </xf>
    <xf numFmtId="0" fontId="4" fillId="12" borderId="3" xfId="20" applyNumberFormat="1" applyFont="1" applyFill="1" applyBorder="1" applyAlignment="1">
      <alignment horizontal="centerContinuous" vertical="center"/>
    </xf>
    <xf numFmtId="0" fontId="4" fillId="12" borderId="2" xfId="20" applyNumberFormat="1" applyFont="1" applyFill="1" applyBorder="1" applyAlignment="1">
      <alignment horizontal="centerContinuous" vertical="center"/>
    </xf>
    <xf numFmtId="0" fontId="4" fillId="12" borderId="3" xfId="20" applyNumberFormat="1" applyFont="1" applyFill="1" applyBorder="1" applyAlignment="1">
      <alignment horizontal="center" vertical="center"/>
    </xf>
    <xf numFmtId="0" fontId="4" fillId="12" borderId="13" xfId="2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/>
    </xf>
    <xf numFmtId="0" fontId="17" fillId="2" borderId="0" xfId="0" applyFont="1" applyFill="1" applyAlignment="1">
      <alignment/>
    </xf>
    <xf numFmtId="178" fontId="7" fillId="2" borderId="3" xfId="20" applyNumberFormat="1" applyFont="1" applyFill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1" xfId="20" applyNumberFormat="1" applyFont="1" applyFill="1" applyBorder="1" applyAlignment="1">
      <alignment horizontal="center" vertical="center" wrapText="1"/>
    </xf>
    <xf numFmtId="0" fontId="4" fillId="4" borderId="3" xfId="20" applyNumberFormat="1" applyFont="1" applyFill="1" applyBorder="1" applyAlignment="1">
      <alignment horizontal="center" vertical="center" wrapText="1"/>
    </xf>
    <xf numFmtId="41" fontId="4" fillId="4" borderId="1" xfId="0" applyNumberFormat="1" applyFont="1" applyFill="1" applyBorder="1" applyAlignment="1">
      <alignment horizontal="center" vertical="center"/>
    </xf>
    <xf numFmtId="41" fontId="4" fillId="4" borderId="3" xfId="0" applyNumberFormat="1" applyFont="1" applyFill="1" applyBorder="1" applyAlignment="1">
      <alignment horizontal="center" vertical="center"/>
    </xf>
    <xf numFmtId="41" fontId="4" fillId="6" borderId="1" xfId="20" applyNumberFormat="1" applyFont="1" applyFill="1" applyBorder="1" applyAlignment="1">
      <alignment horizontal="center" vertical="center"/>
    </xf>
    <xf numFmtId="0" fontId="4" fillId="6" borderId="3" xfId="20" applyNumberFormat="1" applyFont="1" applyFill="1" applyBorder="1" applyAlignment="1">
      <alignment horizontal="center" vertical="center"/>
    </xf>
    <xf numFmtId="0" fontId="4" fillId="4" borderId="1" xfId="20" applyNumberFormat="1" applyFont="1" applyFill="1" applyBorder="1" applyAlignment="1">
      <alignment horizontal="center" vertical="center"/>
    </xf>
    <xf numFmtId="0" fontId="4" fillId="4" borderId="3" xfId="20" applyNumberFormat="1" applyFont="1" applyFill="1" applyBorder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/>
    </xf>
    <xf numFmtId="0" fontId="4" fillId="6" borderId="28" xfId="20" applyNumberFormat="1" applyFont="1" applyFill="1" applyBorder="1" applyAlignment="1">
      <alignment horizontal="center" vertical="center"/>
    </xf>
    <xf numFmtId="0" fontId="4" fillId="6" borderId="30" xfId="20" applyNumberFormat="1" applyFont="1" applyFill="1" applyBorder="1" applyAlignment="1">
      <alignment horizontal="center" vertical="center"/>
    </xf>
    <xf numFmtId="0" fontId="4" fillId="6" borderId="34" xfId="20" applyNumberFormat="1" applyFont="1" applyFill="1" applyBorder="1" applyAlignment="1">
      <alignment horizontal="center" vertical="center"/>
    </xf>
    <xf numFmtId="0" fontId="4" fillId="6" borderId="0" xfId="20" applyNumberFormat="1" applyFont="1" applyFill="1" applyBorder="1" applyAlignment="1">
      <alignment horizontal="center" vertical="center"/>
    </xf>
    <xf numFmtId="0" fontId="4" fillId="5" borderId="36" xfId="0" applyNumberFormat="1" applyFont="1" applyFill="1" applyBorder="1" applyAlignment="1">
      <alignment horizontal="center" vertical="center"/>
    </xf>
    <xf numFmtId="0" fontId="4" fillId="5" borderId="37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4" fillId="5" borderId="41" xfId="0" applyNumberFormat="1" applyFont="1" applyFill="1" applyBorder="1" applyAlignment="1">
      <alignment horizontal="center" vertical="center"/>
    </xf>
    <xf numFmtId="0" fontId="4" fillId="5" borderId="42" xfId="0" applyNumberFormat="1" applyFont="1" applyFill="1" applyBorder="1" applyAlignment="1">
      <alignment horizontal="center" vertical="center"/>
    </xf>
    <xf numFmtId="0" fontId="4" fillId="5" borderId="1" xfId="20" applyNumberFormat="1" applyFont="1" applyFill="1" applyBorder="1" applyAlignment="1">
      <alignment horizontal="center" vertical="center"/>
    </xf>
    <xf numFmtId="0" fontId="4" fillId="5" borderId="3" xfId="20" applyNumberFormat="1" applyFont="1" applyFill="1" applyBorder="1" applyAlignment="1">
      <alignment horizontal="center" vertical="center"/>
    </xf>
    <xf numFmtId="41" fontId="4" fillId="5" borderId="36" xfId="20" applyNumberFormat="1" applyFont="1" applyFill="1" applyBorder="1" applyAlignment="1">
      <alignment horizontal="center" vertical="center"/>
    </xf>
    <xf numFmtId="41" fontId="4" fillId="5" borderId="37" xfId="20" applyNumberFormat="1" applyFont="1" applyFill="1" applyBorder="1" applyAlignment="1">
      <alignment horizontal="center" vertical="center"/>
    </xf>
    <xf numFmtId="0" fontId="4" fillId="5" borderId="36" xfId="20" applyNumberFormat="1" applyFont="1" applyFill="1" applyBorder="1" applyAlignment="1">
      <alignment horizontal="center" vertical="center"/>
    </xf>
    <xf numFmtId="0" fontId="4" fillId="5" borderId="37" xfId="20" applyNumberFormat="1" applyFont="1" applyFill="1" applyBorder="1" applyAlignment="1">
      <alignment horizontal="center" vertical="center"/>
    </xf>
    <xf numFmtId="41" fontId="4" fillId="4" borderId="1" xfId="2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180975</xdr:rowOff>
    </xdr:from>
    <xdr:to>
      <xdr:col>17</xdr:col>
      <xdr:colOff>0</xdr:colOff>
      <xdr:row>3</xdr:row>
      <xdr:rowOff>114300</xdr:rowOff>
    </xdr:to>
    <xdr:sp macro="" textlink="">
      <xdr:nvSpPr>
        <xdr:cNvPr id="2" name="Text Box 38"/>
        <xdr:cNvSpPr txBox="1">
          <a:spLocks noChangeArrowheads="1"/>
        </xdr:cNvSpPr>
      </xdr:nvSpPr>
      <xdr:spPr bwMode="auto">
        <a:xfrm>
          <a:off x="5467350" y="127635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</xdr:row>
      <xdr:rowOff>180975</xdr:rowOff>
    </xdr:from>
    <xdr:to>
      <xdr:col>17</xdr:col>
      <xdr:colOff>0</xdr:colOff>
      <xdr:row>3</xdr:row>
      <xdr:rowOff>114300</xdr:rowOff>
    </xdr:to>
    <xdr:sp macro="" textlink="">
      <xdr:nvSpPr>
        <xdr:cNvPr id="3" name="Text Box 63"/>
        <xdr:cNvSpPr txBox="1">
          <a:spLocks noChangeArrowheads="1"/>
        </xdr:cNvSpPr>
      </xdr:nvSpPr>
      <xdr:spPr bwMode="auto">
        <a:xfrm>
          <a:off x="5467350" y="127635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4" name="Text Box 625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5" name="Text Box 626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6" name="Text Box 627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7" name="Text Box 628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8" name="Text Box 629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9" name="Text Box 630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0" name="Text Box 631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1" name="Text Box 632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2" name="Text Box 633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3" name="Text Box 634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4" name="Text Box 635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5" name="Text Box 636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6" name="Text Box 637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7" name="Text Box 638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8" name="Text Box 639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9" name="Text Box 640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20" name="Text Box 641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21" name="Text Box 642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22" name="Text Box 643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23" name="Text Box 644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24" name="Text Box 645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25" name="Text Box 646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26" name="Text Box 647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27" name="Text Box 648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28" name="Text Box 649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29" name="Text Box 650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30" name="Text Box 651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31" name="Text Box 652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32" name="Text Box 653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33" name="Text Box 654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34" name="Text Box 655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35" name="Text Box 656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36" name="Text Box 657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37" name="Text Box 658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38" name="Text Box 659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39" name="Text Box 660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40" name="Text Box 661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41" name="Text Box 662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42" name="Text Box 663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43" name="Text Box 664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44" name="Text Box 665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45" name="Text Box 666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46" name="Text Box 667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47" name="Text Box 668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48" name="Text Box 669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49" name="Text Box 670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50" name="Text Box 671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51" name="Text Box 672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52" name="Text Box 673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53" name="Text Box 674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54" name="Text Box 675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55" name="Text Box 676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56" name="Text Box 677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57" name="Text Box 678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58" name="Text Box 679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59" name="Text Box 680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60" name="Text Box 681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61" name="Text Box 682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62" name="Text Box 683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63" name="Text Box 684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64" name="Text Box 685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65" name="Text Box 686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66" name="Text Box 687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67" name="Text Box 688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68" name="Text Box 689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69" name="Text Box 690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70" name="Text Box 691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71" name="Text Box 692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72" name="Text Box 693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73" name="Text Box 694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74" name="Text Box 695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75" name="Text Box 696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76" name="Text Box 697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77" name="Text Box 698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78" name="Text Box 699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79" name="Text Box 700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80" name="Text Box 701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81" name="Text Box 702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82" name="Text Box 703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83" name="Text Box 704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84" name="Text Box 705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85" name="Text Box 706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86" name="Text Box 707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87" name="Text Box 708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88" name="Text Box 709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89" name="Text Box 710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90" name="Text Box 711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91" name="Text Box 712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92" name="Text Box 713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93" name="Text Box 714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94" name="Text Box 715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95" name="Text Box 716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96" name="Text Box 717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97" name="Text Box 718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98" name="Text Box 719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99" name="Text Box 720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00" name="Text Box 721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01" name="Text Box 722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02" name="Text Box 723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03" name="Text Box 724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04" name="Text Box 725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05" name="Text Box 726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06" name="Text Box 727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07" name="Text Box 728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08" name="Text Box 729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09" name="Text Box 730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10" name="Text Box 731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11" name="Text Box 732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12" name="Text Box 733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13" name="Text Box 734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14" name="Text Box 735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15" name="Text Box 736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16" name="Text Box 737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17" name="Text Box 738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18" name="Text Box 739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19" name="Text Box 740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20" name="Text Box 741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21" name="Text Box 742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22" name="Text Box 743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23" name="Text Box 744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24" name="Text Box 745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25" name="Text Box 746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26" name="Text Box 747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27" name="Text Box 748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28" name="Text Box 749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29" name="Text Box 750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30" name="Text Box 751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31" name="Text Box 752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32" name="Text Box 753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33" name="Text Box 754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34" name="Text Box 755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35" name="Text Box 756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36" name="Text Box 757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37" name="Text Box 758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38" name="Text Box 759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39" name="Text Box 760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40" name="Text Box 761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41" name="Text Box 762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42" name="Text Box 763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43" name="Text Box 764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44" name="Text Box 765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45" name="Text Box 766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46" name="Text Box 767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47" name="Text Box 768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48" name="Text Box 769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49" name="Text Box 770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50" name="Text Box 771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51" name="Text Box 772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52" name="Text Box 773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53" name="Text Box 774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54" name="Text Box 775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55" name="Text Box 776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56" name="Text Box 777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57" name="Text Box 778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58" name="Text Box 779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59" name="Text Box 780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60" name="Text Box 781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61" name="Text Box 782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62" name="Text Box 783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63" name="Text Box 784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64" name="Text Box 785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65" name="Text Box 786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66" name="Text Box 787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67" name="Text Box 788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68" name="Text Box 789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69" name="Text Box 790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70" name="Text Box 791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71" name="Text Box 792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72" name="Text Box 793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73" name="Text Box 794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74" name="Text Box 795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75" name="Text Box 796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76" name="Text Box 797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77" name="Text Box 798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78" name="Text Box 799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79" name="Text Box 800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80" name="Text Box 801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81" name="Text Box 802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82" name="Text Box 803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83" name="Text Box 804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84" name="Text Box 805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85" name="Text Box 806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86" name="Text Box 807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87" name="Text Box 808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88" name="Text Box 809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89" name="Text Box 810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90" name="Text Box 811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91" name="Text Box 812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92" name="Text Box 813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93" name="Text Box 814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94" name="Text Box 815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95" name="Text Box 816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96" name="Text Box 817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197" name="Text Box 818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198" name="Text Box 819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199" name="Text Box 820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200" name="Text Box 821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201" name="Text Box 822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202" name="Text Box 823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203" name="Text Box 824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204" name="Text Box 825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205" name="Text Box 826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206" name="Text Box 827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207" name="Text Box 828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2</xdr:col>
      <xdr:colOff>76200</xdr:colOff>
      <xdr:row>104</xdr:row>
      <xdr:rowOff>0</xdr:rowOff>
    </xdr:from>
    <xdr:to>
      <xdr:col>2</xdr:col>
      <xdr:colOff>466725</xdr:colOff>
      <xdr:row>104</xdr:row>
      <xdr:rowOff>0</xdr:rowOff>
    </xdr:to>
    <xdr:sp macro="" textlink="">
      <xdr:nvSpPr>
        <xdr:cNvPr id="208" name="Text Box 829"/>
        <xdr:cNvSpPr txBox="1">
          <a:spLocks noChangeArrowheads="1"/>
        </xdr:cNvSpPr>
      </xdr:nvSpPr>
      <xdr:spPr bwMode="auto">
        <a:xfrm>
          <a:off x="352425" y="35375850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 번</a:t>
          </a:r>
        </a:p>
      </xdr:txBody>
    </xdr:sp>
    <xdr:clientData/>
  </xdr:twoCellAnchor>
  <xdr:twoCellAnchor>
    <xdr:from>
      <xdr:col>2</xdr:col>
      <xdr:colOff>476250</xdr:colOff>
      <xdr:row>104</xdr:row>
      <xdr:rowOff>0</xdr:rowOff>
    </xdr:from>
    <xdr:to>
      <xdr:col>4</xdr:col>
      <xdr:colOff>47625</xdr:colOff>
      <xdr:row>104</xdr:row>
      <xdr:rowOff>0</xdr:rowOff>
    </xdr:to>
    <xdr:sp macro="" textlink="">
      <xdr:nvSpPr>
        <xdr:cNvPr id="209" name="Text Box 830"/>
        <xdr:cNvSpPr txBox="1">
          <a:spLocks noChangeArrowheads="1"/>
        </xdr:cNvSpPr>
      </xdr:nvSpPr>
      <xdr:spPr bwMode="auto">
        <a:xfrm>
          <a:off x="75247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지목</a:t>
          </a:r>
        </a:p>
      </xdr:txBody>
    </xdr:sp>
    <xdr:clientData/>
  </xdr:twoCellAnchor>
  <xdr:twoCellAnchor>
    <xdr:from>
      <xdr:col>16</xdr:col>
      <xdr:colOff>19050</xdr:colOff>
      <xdr:row>104</xdr:row>
      <xdr:rowOff>0</xdr:rowOff>
    </xdr:from>
    <xdr:to>
      <xdr:col>17</xdr:col>
      <xdr:colOff>0</xdr:colOff>
      <xdr:row>104</xdr:row>
      <xdr:rowOff>0</xdr:rowOff>
    </xdr:to>
    <xdr:sp macro="" textlink="">
      <xdr:nvSpPr>
        <xdr:cNvPr id="210" name="Text Box 831"/>
        <xdr:cNvSpPr txBox="1">
          <a:spLocks noChangeArrowheads="1"/>
        </xdr:cNvSpPr>
      </xdr:nvSpPr>
      <xdr:spPr bwMode="auto">
        <a:xfrm>
          <a:off x="5191125" y="35375850"/>
          <a:ext cx="2762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</xdr:row>
      <xdr:rowOff>180975</xdr:rowOff>
    </xdr:from>
    <xdr:to>
      <xdr:col>17</xdr:col>
      <xdr:colOff>0</xdr:colOff>
      <xdr:row>3</xdr:row>
      <xdr:rowOff>114300</xdr:rowOff>
    </xdr:to>
    <xdr:sp macro="" textlink="">
      <xdr:nvSpPr>
        <xdr:cNvPr id="211" name="Text Box 835"/>
        <xdr:cNvSpPr txBox="1">
          <a:spLocks noChangeArrowheads="1"/>
        </xdr:cNvSpPr>
      </xdr:nvSpPr>
      <xdr:spPr bwMode="auto">
        <a:xfrm>
          <a:off x="5467350" y="127635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</xdr:row>
      <xdr:rowOff>180975</xdr:rowOff>
    </xdr:from>
    <xdr:to>
      <xdr:col>17</xdr:col>
      <xdr:colOff>0</xdr:colOff>
      <xdr:row>3</xdr:row>
      <xdr:rowOff>114300</xdr:rowOff>
    </xdr:to>
    <xdr:sp macro="" textlink="">
      <xdr:nvSpPr>
        <xdr:cNvPr id="212" name="Text Box 1028"/>
        <xdr:cNvSpPr txBox="1">
          <a:spLocks noChangeArrowheads="1"/>
        </xdr:cNvSpPr>
      </xdr:nvSpPr>
      <xdr:spPr bwMode="auto">
        <a:xfrm>
          <a:off x="5467350" y="127635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</xdr:row>
      <xdr:rowOff>180975</xdr:rowOff>
    </xdr:from>
    <xdr:to>
      <xdr:col>17</xdr:col>
      <xdr:colOff>0</xdr:colOff>
      <xdr:row>3</xdr:row>
      <xdr:rowOff>114300</xdr:rowOff>
    </xdr:to>
    <xdr:sp macro="" textlink="">
      <xdr:nvSpPr>
        <xdr:cNvPr id="213" name="Text Box 1221"/>
        <xdr:cNvSpPr txBox="1">
          <a:spLocks noChangeArrowheads="1"/>
        </xdr:cNvSpPr>
      </xdr:nvSpPr>
      <xdr:spPr bwMode="auto">
        <a:xfrm>
          <a:off x="5467350" y="127635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</xdr:row>
      <xdr:rowOff>180975</xdr:rowOff>
    </xdr:from>
    <xdr:to>
      <xdr:col>17</xdr:col>
      <xdr:colOff>0</xdr:colOff>
      <xdr:row>3</xdr:row>
      <xdr:rowOff>114300</xdr:rowOff>
    </xdr:to>
    <xdr:sp macro="" textlink="">
      <xdr:nvSpPr>
        <xdr:cNvPr id="214" name="Text Box 1414"/>
        <xdr:cNvSpPr txBox="1">
          <a:spLocks noChangeArrowheads="1"/>
        </xdr:cNvSpPr>
      </xdr:nvSpPr>
      <xdr:spPr bwMode="auto">
        <a:xfrm>
          <a:off x="5467350" y="127635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</xdr:row>
      <xdr:rowOff>180975</xdr:rowOff>
    </xdr:from>
    <xdr:to>
      <xdr:col>17</xdr:col>
      <xdr:colOff>0</xdr:colOff>
      <xdr:row>3</xdr:row>
      <xdr:rowOff>114300</xdr:rowOff>
    </xdr:to>
    <xdr:sp macro="" textlink="">
      <xdr:nvSpPr>
        <xdr:cNvPr id="215" name="Text Box 2153"/>
        <xdr:cNvSpPr txBox="1">
          <a:spLocks noChangeArrowheads="1"/>
        </xdr:cNvSpPr>
      </xdr:nvSpPr>
      <xdr:spPr bwMode="auto">
        <a:xfrm>
          <a:off x="5467350" y="127635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54</xdr:row>
      <xdr:rowOff>180975</xdr:rowOff>
    </xdr:from>
    <xdr:to>
      <xdr:col>17</xdr:col>
      <xdr:colOff>0</xdr:colOff>
      <xdr:row>55</xdr:row>
      <xdr:rowOff>114300</xdr:rowOff>
    </xdr:to>
    <xdr:sp macro="" textlink="">
      <xdr:nvSpPr>
        <xdr:cNvPr id="223" name="Text Box 38"/>
        <xdr:cNvSpPr txBox="1">
          <a:spLocks noChangeArrowheads="1"/>
        </xdr:cNvSpPr>
      </xdr:nvSpPr>
      <xdr:spPr bwMode="auto">
        <a:xfrm>
          <a:off x="5467350" y="1962150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54</xdr:row>
      <xdr:rowOff>180975</xdr:rowOff>
    </xdr:from>
    <xdr:to>
      <xdr:col>17</xdr:col>
      <xdr:colOff>0</xdr:colOff>
      <xdr:row>55</xdr:row>
      <xdr:rowOff>114300</xdr:rowOff>
    </xdr:to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5467350" y="1962150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54</xdr:row>
      <xdr:rowOff>180975</xdr:rowOff>
    </xdr:from>
    <xdr:to>
      <xdr:col>17</xdr:col>
      <xdr:colOff>0</xdr:colOff>
      <xdr:row>55</xdr:row>
      <xdr:rowOff>114300</xdr:rowOff>
    </xdr:to>
    <xdr:sp macro="" textlink="">
      <xdr:nvSpPr>
        <xdr:cNvPr id="225" name="Text Box 835"/>
        <xdr:cNvSpPr txBox="1">
          <a:spLocks noChangeArrowheads="1"/>
        </xdr:cNvSpPr>
      </xdr:nvSpPr>
      <xdr:spPr bwMode="auto">
        <a:xfrm>
          <a:off x="5467350" y="1962150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54</xdr:row>
      <xdr:rowOff>180975</xdr:rowOff>
    </xdr:from>
    <xdr:to>
      <xdr:col>17</xdr:col>
      <xdr:colOff>0</xdr:colOff>
      <xdr:row>55</xdr:row>
      <xdr:rowOff>114300</xdr:rowOff>
    </xdr:to>
    <xdr:sp macro="" textlink="">
      <xdr:nvSpPr>
        <xdr:cNvPr id="226" name="Text Box 1028"/>
        <xdr:cNvSpPr txBox="1">
          <a:spLocks noChangeArrowheads="1"/>
        </xdr:cNvSpPr>
      </xdr:nvSpPr>
      <xdr:spPr bwMode="auto">
        <a:xfrm>
          <a:off x="5467350" y="1962150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54</xdr:row>
      <xdr:rowOff>180975</xdr:rowOff>
    </xdr:from>
    <xdr:to>
      <xdr:col>17</xdr:col>
      <xdr:colOff>0</xdr:colOff>
      <xdr:row>55</xdr:row>
      <xdr:rowOff>114300</xdr:rowOff>
    </xdr:to>
    <xdr:sp macro="" textlink="">
      <xdr:nvSpPr>
        <xdr:cNvPr id="227" name="Text Box 1221"/>
        <xdr:cNvSpPr txBox="1">
          <a:spLocks noChangeArrowheads="1"/>
        </xdr:cNvSpPr>
      </xdr:nvSpPr>
      <xdr:spPr bwMode="auto">
        <a:xfrm>
          <a:off x="5467350" y="1962150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54</xdr:row>
      <xdr:rowOff>180975</xdr:rowOff>
    </xdr:from>
    <xdr:to>
      <xdr:col>17</xdr:col>
      <xdr:colOff>0</xdr:colOff>
      <xdr:row>55</xdr:row>
      <xdr:rowOff>114300</xdr:rowOff>
    </xdr:to>
    <xdr:sp macro="" textlink="">
      <xdr:nvSpPr>
        <xdr:cNvPr id="228" name="Text Box 1414"/>
        <xdr:cNvSpPr txBox="1">
          <a:spLocks noChangeArrowheads="1"/>
        </xdr:cNvSpPr>
      </xdr:nvSpPr>
      <xdr:spPr bwMode="auto">
        <a:xfrm>
          <a:off x="5467350" y="1962150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54</xdr:row>
      <xdr:rowOff>180975</xdr:rowOff>
    </xdr:from>
    <xdr:to>
      <xdr:col>17</xdr:col>
      <xdr:colOff>0</xdr:colOff>
      <xdr:row>55</xdr:row>
      <xdr:rowOff>114300</xdr:rowOff>
    </xdr:to>
    <xdr:sp macro="" textlink="">
      <xdr:nvSpPr>
        <xdr:cNvPr id="229" name="Text Box 2153"/>
        <xdr:cNvSpPr txBox="1">
          <a:spLocks noChangeArrowheads="1"/>
        </xdr:cNvSpPr>
      </xdr:nvSpPr>
      <xdr:spPr bwMode="auto">
        <a:xfrm>
          <a:off x="5467350" y="19621500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28</xdr:row>
      <xdr:rowOff>180975</xdr:rowOff>
    </xdr:from>
    <xdr:to>
      <xdr:col>17</xdr:col>
      <xdr:colOff>0</xdr:colOff>
      <xdr:row>29</xdr:row>
      <xdr:rowOff>114300</xdr:rowOff>
    </xdr:to>
    <xdr:sp macro="" textlink="">
      <xdr:nvSpPr>
        <xdr:cNvPr id="230" name="Text Box 38"/>
        <xdr:cNvSpPr txBox="1">
          <a:spLocks noChangeArrowheads="1"/>
        </xdr:cNvSpPr>
      </xdr:nvSpPr>
      <xdr:spPr bwMode="auto">
        <a:xfrm>
          <a:off x="5467350" y="10448925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28</xdr:row>
      <xdr:rowOff>180975</xdr:rowOff>
    </xdr:from>
    <xdr:to>
      <xdr:col>17</xdr:col>
      <xdr:colOff>0</xdr:colOff>
      <xdr:row>29</xdr:row>
      <xdr:rowOff>114300</xdr:rowOff>
    </xdr:to>
    <xdr:sp macro="" textlink="">
      <xdr:nvSpPr>
        <xdr:cNvPr id="231" name="Text Box 63"/>
        <xdr:cNvSpPr txBox="1">
          <a:spLocks noChangeArrowheads="1"/>
        </xdr:cNvSpPr>
      </xdr:nvSpPr>
      <xdr:spPr bwMode="auto">
        <a:xfrm>
          <a:off x="5467350" y="10448925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28</xdr:row>
      <xdr:rowOff>180975</xdr:rowOff>
    </xdr:from>
    <xdr:to>
      <xdr:col>17</xdr:col>
      <xdr:colOff>0</xdr:colOff>
      <xdr:row>29</xdr:row>
      <xdr:rowOff>114300</xdr:rowOff>
    </xdr:to>
    <xdr:sp macro="" textlink="">
      <xdr:nvSpPr>
        <xdr:cNvPr id="232" name="Text Box 835"/>
        <xdr:cNvSpPr txBox="1">
          <a:spLocks noChangeArrowheads="1"/>
        </xdr:cNvSpPr>
      </xdr:nvSpPr>
      <xdr:spPr bwMode="auto">
        <a:xfrm>
          <a:off x="5467350" y="10448925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28</xdr:row>
      <xdr:rowOff>180975</xdr:rowOff>
    </xdr:from>
    <xdr:to>
      <xdr:col>17</xdr:col>
      <xdr:colOff>0</xdr:colOff>
      <xdr:row>29</xdr:row>
      <xdr:rowOff>114300</xdr:rowOff>
    </xdr:to>
    <xdr:sp macro="" textlink="">
      <xdr:nvSpPr>
        <xdr:cNvPr id="233" name="Text Box 1028"/>
        <xdr:cNvSpPr txBox="1">
          <a:spLocks noChangeArrowheads="1"/>
        </xdr:cNvSpPr>
      </xdr:nvSpPr>
      <xdr:spPr bwMode="auto">
        <a:xfrm>
          <a:off x="5467350" y="10448925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28</xdr:row>
      <xdr:rowOff>180975</xdr:rowOff>
    </xdr:from>
    <xdr:to>
      <xdr:col>17</xdr:col>
      <xdr:colOff>0</xdr:colOff>
      <xdr:row>29</xdr:row>
      <xdr:rowOff>114300</xdr:rowOff>
    </xdr:to>
    <xdr:sp macro="" textlink="">
      <xdr:nvSpPr>
        <xdr:cNvPr id="234" name="Text Box 1221"/>
        <xdr:cNvSpPr txBox="1">
          <a:spLocks noChangeArrowheads="1"/>
        </xdr:cNvSpPr>
      </xdr:nvSpPr>
      <xdr:spPr bwMode="auto">
        <a:xfrm>
          <a:off x="5467350" y="10448925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28</xdr:row>
      <xdr:rowOff>180975</xdr:rowOff>
    </xdr:from>
    <xdr:to>
      <xdr:col>17</xdr:col>
      <xdr:colOff>0</xdr:colOff>
      <xdr:row>29</xdr:row>
      <xdr:rowOff>114300</xdr:rowOff>
    </xdr:to>
    <xdr:sp macro="" textlink="">
      <xdr:nvSpPr>
        <xdr:cNvPr id="235" name="Text Box 1414"/>
        <xdr:cNvSpPr txBox="1">
          <a:spLocks noChangeArrowheads="1"/>
        </xdr:cNvSpPr>
      </xdr:nvSpPr>
      <xdr:spPr bwMode="auto">
        <a:xfrm>
          <a:off x="5467350" y="10448925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  <xdr:twoCellAnchor>
    <xdr:from>
      <xdr:col>17</xdr:col>
      <xdr:colOff>0</xdr:colOff>
      <xdr:row>28</xdr:row>
      <xdr:rowOff>180975</xdr:rowOff>
    </xdr:from>
    <xdr:to>
      <xdr:col>17</xdr:col>
      <xdr:colOff>0</xdr:colOff>
      <xdr:row>29</xdr:row>
      <xdr:rowOff>114300</xdr:rowOff>
    </xdr:to>
    <xdr:sp macro="" textlink="">
      <xdr:nvSpPr>
        <xdr:cNvPr id="236" name="Text Box 2153"/>
        <xdr:cNvSpPr txBox="1">
          <a:spLocks noChangeArrowheads="1"/>
        </xdr:cNvSpPr>
      </xdr:nvSpPr>
      <xdr:spPr bwMode="auto">
        <a:xfrm>
          <a:off x="5467350" y="10448925"/>
          <a:ext cx="0" cy="2762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900" b="0" i="0" u="none" strike="noStrike" baseline="0">
              <a:solidFill>
                <a:srgbClr val="000000"/>
              </a:solidFill>
              <a:latin typeface="돋움"/>
              <a:ea typeface="돋움"/>
            </a:rPr>
            <a:t>비고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 topLeftCell="A1">
      <selection activeCell="E4" sqref="E4"/>
    </sheetView>
  </sheetViews>
  <sheetFormatPr defaultColWidth="5.28125" defaultRowHeight="24" customHeight="1"/>
  <cols>
    <col min="1" max="1" width="5.421875" style="2" customWidth="1"/>
    <col min="2" max="2" width="6.57421875" style="2" customWidth="1"/>
    <col min="3" max="3" width="2.57421875" style="2" customWidth="1"/>
    <col min="4" max="4" width="7.57421875" style="2" customWidth="1"/>
    <col min="5" max="5" width="6.57421875" style="2" customWidth="1"/>
    <col min="6" max="6" width="2.57421875" style="2" customWidth="1"/>
    <col min="7" max="7" width="7.57421875" style="2" customWidth="1"/>
    <col min="8" max="8" width="6.57421875" style="2" customWidth="1"/>
    <col min="9" max="9" width="2.57421875" style="2" customWidth="1"/>
    <col min="10" max="10" width="7.57421875" style="2" customWidth="1"/>
    <col min="11" max="11" width="6.57421875" style="2" customWidth="1"/>
    <col min="12" max="12" width="2.57421875" style="2" customWidth="1"/>
    <col min="13" max="14" width="7.57421875" style="2" customWidth="1"/>
    <col min="15" max="176" width="5.28125" style="2" customWidth="1"/>
    <col min="177" max="177" width="5.421875" style="2" customWidth="1"/>
    <col min="178" max="178" width="8.7109375" style="2" customWidth="1"/>
    <col min="179" max="179" width="5.57421875" style="2" customWidth="1"/>
    <col min="180" max="181" width="8.7109375" style="2" customWidth="1"/>
    <col min="182" max="182" width="5.57421875" style="2" customWidth="1"/>
    <col min="183" max="184" width="8.7109375" style="2" customWidth="1"/>
    <col min="185" max="185" width="5.57421875" style="2" customWidth="1"/>
    <col min="186" max="187" width="8.7109375" style="2" customWidth="1"/>
    <col min="188" max="188" width="5.421875" style="2" customWidth="1"/>
    <col min="189" max="189" width="8.7109375" style="2" customWidth="1"/>
    <col min="190" max="190" width="5.57421875" style="2" customWidth="1"/>
    <col min="191" max="192" width="8.7109375" style="2" customWidth="1"/>
    <col min="193" max="193" width="5.57421875" style="2" customWidth="1"/>
    <col min="194" max="195" width="8.7109375" style="2" customWidth="1"/>
    <col min="196" max="196" width="5.57421875" style="2" customWidth="1"/>
    <col min="197" max="198" width="8.7109375" style="2" customWidth="1"/>
    <col min="199" max="199" width="5.421875" style="2" customWidth="1"/>
    <col min="200" max="200" width="8.7109375" style="2" customWidth="1"/>
    <col min="201" max="201" width="5.57421875" style="2" customWidth="1"/>
    <col min="202" max="203" width="8.7109375" style="2" customWidth="1"/>
    <col min="204" max="204" width="5.57421875" style="2" customWidth="1"/>
    <col min="205" max="206" width="8.7109375" style="2" customWidth="1"/>
    <col min="207" max="207" width="5.57421875" style="2" customWidth="1"/>
    <col min="208" max="209" width="8.7109375" style="2" customWidth="1"/>
    <col min="210" max="210" width="5.421875" style="2" customWidth="1"/>
    <col min="211" max="211" width="8.7109375" style="2" customWidth="1"/>
    <col min="212" max="212" width="5.57421875" style="2" customWidth="1"/>
    <col min="213" max="214" width="8.7109375" style="2" customWidth="1"/>
    <col min="215" max="215" width="5.57421875" style="2" customWidth="1"/>
    <col min="216" max="217" width="8.7109375" style="2" customWidth="1"/>
    <col min="218" max="218" width="5.57421875" style="2" customWidth="1"/>
    <col min="219" max="220" width="8.7109375" style="2" customWidth="1"/>
    <col min="221" max="432" width="5.28125" style="2" customWidth="1"/>
    <col min="433" max="433" width="5.421875" style="2" customWidth="1"/>
    <col min="434" max="434" width="8.7109375" style="2" customWidth="1"/>
    <col min="435" max="435" width="5.57421875" style="2" customWidth="1"/>
    <col min="436" max="437" width="8.7109375" style="2" customWidth="1"/>
    <col min="438" max="438" width="5.57421875" style="2" customWidth="1"/>
    <col min="439" max="440" width="8.7109375" style="2" customWidth="1"/>
    <col min="441" max="441" width="5.57421875" style="2" customWidth="1"/>
    <col min="442" max="443" width="8.7109375" style="2" customWidth="1"/>
    <col min="444" max="444" width="5.421875" style="2" customWidth="1"/>
    <col min="445" max="445" width="8.7109375" style="2" customWidth="1"/>
    <col min="446" max="446" width="5.57421875" style="2" customWidth="1"/>
    <col min="447" max="448" width="8.7109375" style="2" customWidth="1"/>
    <col min="449" max="449" width="5.57421875" style="2" customWidth="1"/>
    <col min="450" max="451" width="8.7109375" style="2" customWidth="1"/>
    <col min="452" max="452" width="5.57421875" style="2" customWidth="1"/>
    <col min="453" max="454" width="8.7109375" style="2" customWidth="1"/>
    <col min="455" max="455" width="5.421875" style="2" customWidth="1"/>
    <col min="456" max="456" width="8.7109375" style="2" customWidth="1"/>
    <col min="457" max="457" width="5.57421875" style="2" customWidth="1"/>
    <col min="458" max="459" width="8.7109375" style="2" customWidth="1"/>
    <col min="460" max="460" width="5.57421875" style="2" customWidth="1"/>
    <col min="461" max="462" width="8.7109375" style="2" customWidth="1"/>
    <col min="463" max="463" width="5.57421875" style="2" customWidth="1"/>
    <col min="464" max="465" width="8.7109375" style="2" customWidth="1"/>
    <col min="466" max="466" width="5.421875" style="2" customWidth="1"/>
    <col min="467" max="467" width="8.7109375" style="2" customWidth="1"/>
    <col min="468" max="468" width="5.57421875" style="2" customWidth="1"/>
    <col min="469" max="470" width="8.7109375" style="2" customWidth="1"/>
    <col min="471" max="471" width="5.57421875" style="2" customWidth="1"/>
    <col min="472" max="473" width="8.7109375" style="2" customWidth="1"/>
    <col min="474" max="474" width="5.57421875" style="2" customWidth="1"/>
    <col min="475" max="476" width="8.7109375" style="2" customWidth="1"/>
    <col min="477" max="688" width="5.28125" style="2" customWidth="1"/>
    <col min="689" max="689" width="5.421875" style="2" customWidth="1"/>
    <col min="690" max="690" width="8.7109375" style="2" customWidth="1"/>
    <col min="691" max="691" width="5.57421875" style="2" customWidth="1"/>
    <col min="692" max="693" width="8.7109375" style="2" customWidth="1"/>
    <col min="694" max="694" width="5.57421875" style="2" customWidth="1"/>
    <col min="695" max="696" width="8.7109375" style="2" customWidth="1"/>
    <col min="697" max="697" width="5.57421875" style="2" customWidth="1"/>
    <col min="698" max="699" width="8.7109375" style="2" customWidth="1"/>
    <col min="700" max="700" width="5.421875" style="2" customWidth="1"/>
    <col min="701" max="701" width="8.7109375" style="2" customWidth="1"/>
    <col min="702" max="702" width="5.57421875" style="2" customWidth="1"/>
    <col min="703" max="704" width="8.7109375" style="2" customWidth="1"/>
    <col min="705" max="705" width="5.57421875" style="2" customWidth="1"/>
    <col min="706" max="707" width="8.7109375" style="2" customWidth="1"/>
    <col min="708" max="708" width="5.57421875" style="2" customWidth="1"/>
    <col min="709" max="710" width="8.7109375" style="2" customWidth="1"/>
    <col min="711" max="711" width="5.421875" style="2" customWidth="1"/>
    <col min="712" max="712" width="8.7109375" style="2" customWidth="1"/>
    <col min="713" max="713" width="5.57421875" style="2" customWidth="1"/>
    <col min="714" max="715" width="8.7109375" style="2" customWidth="1"/>
    <col min="716" max="716" width="5.57421875" style="2" customWidth="1"/>
    <col min="717" max="718" width="8.7109375" style="2" customWidth="1"/>
    <col min="719" max="719" width="5.57421875" style="2" customWidth="1"/>
    <col min="720" max="721" width="8.7109375" style="2" customWidth="1"/>
    <col min="722" max="722" width="5.421875" style="2" customWidth="1"/>
    <col min="723" max="723" width="8.7109375" style="2" customWidth="1"/>
    <col min="724" max="724" width="5.57421875" style="2" customWidth="1"/>
    <col min="725" max="726" width="8.7109375" style="2" customWidth="1"/>
    <col min="727" max="727" width="5.57421875" style="2" customWidth="1"/>
    <col min="728" max="729" width="8.7109375" style="2" customWidth="1"/>
    <col min="730" max="730" width="5.57421875" style="2" customWidth="1"/>
    <col min="731" max="732" width="8.7109375" style="2" customWidth="1"/>
    <col min="733" max="944" width="5.28125" style="2" customWidth="1"/>
    <col min="945" max="945" width="5.421875" style="2" customWidth="1"/>
    <col min="946" max="946" width="8.7109375" style="2" customWidth="1"/>
    <col min="947" max="947" width="5.57421875" style="2" customWidth="1"/>
    <col min="948" max="949" width="8.7109375" style="2" customWidth="1"/>
    <col min="950" max="950" width="5.57421875" style="2" customWidth="1"/>
    <col min="951" max="952" width="8.7109375" style="2" customWidth="1"/>
    <col min="953" max="953" width="5.57421875" style="2" customWidth="1"/>
    <col min="954" max="955" width="8.7109375" style="2" customWidth="1"/>
    <col min="956" max="956" width="5.421875" style="2" customWidth="1"/>
    <col min="957" max="957" width="8.7109375" style="2" customWidth="1"/>
    <col min="958" max="958" width="5.57421875" style="2" customWidth="1"/>
    <col min="959" max="960" width="8.7109375" style="2" customWidth="1"/>
    <col min="961" max="961" width="5.57421875" style="2" customWidth="1"/>
    <col min="962" max="963" width="8.7109375" style="2" customWidth="1"/>
    <col min="964" max="964" width="5.57421875" style="2" customWidth="1"/>
    <col min="965" max="966" width="8.7109375" style="2" customWidth="1"/>
    <col min="967" max="967" width="5.421875" style="2" customWidth="1"/>
    <col min="968" max="968" width="8.7109375" style="2" customWidth="1"/>
    <col min="969" max="969" width="5.57421875" style="2" customWidth="1"/>
    <col min="970" max="971" width="8.7109375" style="2" customWidth="1"/>
    <col min="972" max="972" width="5.57421875" style="2" customWidth="1"/>
    <col min="973" max="974" width="8.7109375" style="2" customWidth="1"/>
    <col min="975" max="975" width="5.57421875" style="2" customWidth="1"/>
    <col min="976" max="977" width="8.7109375" style="2" customWidth="1"/>
    <col min="978" max="978" width="5.421875" style="2" customWidth="1"/>
    <col min="979" max="979" width="8.7109375" style="2" customWidth="1"/>
    <col min="980" max="980" width="5.57421875" style="2" customWidth="1"/>
    <col min="981" max="982" width="8.7109375" style="2" customWidth="1"/>
    <col min="983" max="983" width="5.57421875" style="2" customWidth="1"/>
    <col min="984" max="985" width="8.7109375" style="2" customWidth="1"/>
    <col min="986" max="986" width="5.57421875" style="2" customWidth="1"/>
    <col min="987" max="988" width="8.7109375" style="2" customWidth="1"/>
    <col min="989" max="1200" width="5.28125" style="2" customWidth="1"/>
    <col min="1201" max="1201" width="5.421875" style="2" customWidth="1"/>
    <col min="1202" max="1202" width="8.7109375" style="2" customWidth="1"/>
    <col min="1203" max="1203" width="5.57421875" style="2" customWidth="1"/>
    <col min="1204" max="1205" width="8.7109375" style="2" customWidth="1"/>
    <col min="1206" max="1206" width="5.57421875" style="2" customWidth="1"/>
    <col min="1207" max="1208" width="8.7109375" style="2" customWidth="1"/>
    <col min="1209" max="1209" width="5.57421875" style="2" customWidth="1"/>
    <col min="1210" max="1211" width="8.7109375" style="2" customWidth="1"/>
    <col min="1212" max="1212" width="5.421875" style="2" customWidth="1"/>
    <col min="1213" max="1213" width="8.7109375" style="2" customWidth="1"/>
    <col min="1214" max="1214" width="5.57421875" style="2" customWidth="1"/>
    <col min="1215" max="1216" width="8.7109375" style="2" customWidth="1"/>
    <col min="1217" max="1217" width="5.57421875" style="2" customWidth="1"/>
    <col min="1218" max="1219" width="8.7109375" style="2" customWidth="1"/>
    <col min="1220" max="1220" width="5.57421875" style="2" customWidth="1"/>
    <col min="1221" max="1222" width="8.7109375" style="2" customWidth="1"/>
    <col min="1223" max="1223" width="5.421875" style="2" customWidth="1"/>
    <col min="1224" max="1224" width="8.7109375" style="2" customWidth="1"/>
    <col min="1225" max="1225" width="5.57421875" style="2" customWidth="1"/>
    <col min="1226" max="1227" width="8.7109375" style="2" customWidth="1"/>
    <col min="1228" max="1228" width="5.57421875" style="2" customWidth="1"/>
    <col min="1229" max="1230" width="8.7109375" style="2" customWidth="1"/>
    <col min="1231" max="1231" width="5.57421875" style="2" customWidth="1"/>
    <col min="1232" max="1233" width="8.7109375" style="2" customWidth="1"/>
    <col min="1234" max="1234" width="5.421875" style="2" customWidth="1"/>
    <col min="1235" max="1235" width="8.7109375" style="2" customWidth="1"/>
    <col min="1236" max="1236" width="5.57421875" style="2" customWidth="1"/>
    <col min="1237" max="1238" width="8.7109375" style="2" customWidth="1"/>
    <col min="1239" max="1239" width="5.57421875" style="2" customWidth="1"/>
    <col min="1240" max="1241" width="8.7109375" style="2" customWidth="1"/>
    <col min="1242" max="1242" width="5.57421875" style="2" customWidth="1"/>
    <col min="1243" max="1244" width="8.7109375" style="2" customWidth="1"/>
    <col min="1245" max="1456" width="5.28125" style="2" customWidth="1"/>
    <col min="1457" max="1457" width="5.421875" style="2" customWidth="1"/>
    <col min="1458" max="1458" width="8.7109375" style="2" customWidth="1"/>
    <col min="1459" max="1459" width="5.57421875" style="2" customWidth="1"/>
    <col min="1460" max="1461" width="8.7109375" style="2" customWidth="1"/>
    <col min="1462" max="1462" width="5.57421875" style="2" customWidth="1"/>
    <col min="1463" max="1464" width="8.7109375" style="2" customWidth="1"/>
    <col min="1465" max="1465" width="5.57421875" style="2" customWidth="1"/>
    <col min="1466" max="1467" width="8.7109375" style="2" customWidth="1"/>
    <col min="1468" max="1468" width="5.421875" style="2" customWidth="1"/>
    <col min="1469" max="1469" width="8.7109375" style="2" customWidth="1"/>
    <col min="1470" max="1470" width="5.57421875" style="2" customWidth="1"/>
    <col min="1471" max="1472" width="8.7109375" style="2" customWidth="1"/>
    <col min="1473" max="1473" width="5.57421875" style="2" customWidth="1"/>
    <col min="1474" max="1475" width="8.7109375" style="2" customWidth="1"/>
    <col min="1476" max="1476" width="5.57421875" style="2" customWidth="1"/>
    <col min="1477" max="1478" width="8.7109375" style="2" customWidth="1"/>
    <col min="1479" max="1479" width="5.421875" style="2" customWidth="1"/>
    <col min="1480" max="1480" width="8.7109375" style="2" customWidth="1"/>
    <col min="1481" max="1481" width="5.57421875" style="2" customWidth="1"/>
    <col min="1482" max="1483" width="8.7109375" style="2" customWidth="1"/>
    <col min="1484" max="1484" width="5.57421875" style="2" customWidth="1"/>
    <col min="1485" max="1486" width="8.7109375" style="2" customWidth="1"/>
    <col min="1487" max="1487" width="5.57421875" style="2" customWidth="1"/>
    <col min="1488" max="1489" width="8.7109375" style="2" customWidth="1"/>
    <col min="1490" max="1490" width="5.421875" style="2" customWidth="1"/>
    <col min="1491" max="1491" width="8.7109375" style="2" customWidth="1"/>
    <col min="1492" max="1492" width="5.57421875" style="2" customWidth="1"/>
    <col min="1493" max="1494" width="8.7109375" style="2" customWidth="1"/>
    <col min="1495" max="1495" width="5.57421875" style="2" customWidth="1"/>
    <col min="1496" max="1497" width="8.7109375" style="2" customWidth="1"/>
    <col min="1498" max="1498" width="5.57421875" style="2" customWidth="1"/>
    <col min="1499" max="1500" width="8.7109375" style="2" customWidth="1"/>
    <col min="1501" max="1712" width="5.28125" style="2" customWidth="1"/>
    <col min="1713" max="1713" width="5.421875" style="2" customWidth="1"/>
    <col min="1714" max="1714" width="8.7109375" style="2" customWidth="1"/>
    <col min="1715" max="1715" width="5.57421875" style="2" customWidth="1"/>
    <col min="1716" max="1717" width="8.7109375" style="2" customWidth="1"/>
    <col min="1718" max="1718" width="5.57421875" style="2" customWidth="1"/>
    <col min="1719" max="1720" width="8.7109375" style="2" customWidth="1"/>
    <col min="1721" max="1721" width="5.57421875" style="2" customWidth="1"/>
    <col min="1722" max="1723" width="8.7109375" style="2" customWidth="1"/>
    <col min="1724" max="1724" width="5.421875" style="2" customWidth="1"/>
    <col min="1725" max="1725" width="8.7109375" style="2" customWidth="1"/>
    <col min="1726" max="1726" width="5.57421875" style="2" customWidth="1"/>
    <col min="1727" max="1728" width="8.7109375" style="2" customWidth="1"/>
    <col min="1729" max="1729" width="5.57421875" style="2" customWidth="1"/>
    <col min="1730" max="1731" width="8.7109375" style="2" customWidth="1"/>
    <col min="1732" max="1732" width="5.57421875" style="2" customWidth="1"/>
    <col min="1733" max="1734" width="8.7109375" style="2" customWidth="1"/>
    <col min="1735" max="1735" width="5.421875" style="2" customWidth="1"/>
    <col min="1736" max="1736" width="8.7109375" style="2" customWidth="1"/>
    <col min="1737" max="1737" width="5.57421875" style="2" customWidth="1"/>
    <col min="1738" max="1739" width="8.7109375" style="2" customWidth="1"/>
    <col min="1740" max="1740" width="5.57421875" style="2" customWidth="1"/>
    <col min="1741" max="1742" width="8.7109375" style="2" customWidth="1"/>
    <col min="1743" max="1743" width="5.57421875" style="2" customWidth="1"/>
    <col min="1744" max="1745" width="8.7109375" style="2" customWidth="1"/>
    <col min="1746" max="1746" width="5.421875" style="2" customWidth="1"/>
    <col min="1747" max="1747" width="8.7109375" style="2" customWidth="1"/>
    <col min="1748" max="1748" width="5.57421875" style="2" customWidth="1"/>
    <col min="1749" max="1750" width="8.7109375" style="2" customWidth="1"/>
    <col min="1751" max="1751" width="5.57421875" style="2" customWidth="1"/>
    <col min="1752" max="1753" width="8.7109375" style="2" customWidth="1"/>
    <col min="1754" max="1754" width="5.57421875" style="2" customWidth="1"/>
    <col min="1755" max="1756" width="8.7109375" style="2" customWidth="1"/>
    <col min="1757" max="1968" width="5.28125" style="2" customWidth="1"/>
    <col min="1969" max="1969" width="5.421875" style="2" customWidth="1"/>
    <col min="1970" max="1970" width="8.7109375" style="2" customWidth="1"/>
    <col min="1971" max="1971" width="5.57421875" style="2" customWidth="1"/>
    <col min="1972" max="1973" width="8.7109375" style="2" customWidth="1"/>
    <col min="1974" max="1974" width="5.57421875" style="2" customWidth="1"/>
    <col min="1975" max="1976" width="8.7109375" style="2" customWidth="1"/>
    <col min="1977" max="1977" width="5.57421875" style="2" customWidth="1"/>
    <col min="1978" max="1979" width="8.7109375" style="2" customWidth="1"/>
    <col min="1980" max="1980" width="5.421875" style="2" customWidth="1"/>
    <col min="1981" max="1981" width="8.7109375" style="2" customWidth="1"/>
    <col min="1982" max="1982" width="5.57421875" style="2" customWidth="1"/>
    <col min="1983" max="1984" width="8.7109375" style="2" customWidth="1"/>
    <col min="1985" max="1985" width="5.57421875" style="2" customWidth="1"/>
    <col min="1986" max="1987" width="8.7109375" style="2" customWidth="1"/>
    <col min="1988" max="1988" width="5.57421875" style="2" customWidth="1"/>
    <col min="1989" max="1990" width="8.7109375" style="2" customWidth="1"/>
    <col min="1991" max="1991" width="5.421875" style="2" customWidth="1"/>
    <col min="1992" max="1992" width="8.7109375" style="2" customWidth="1"/>
    <col min="1993" max="1993" width="5.57421875" style="2" customWidth="1"/>
    <col min="1994" max="1995" width="8.7109375" style="2" customWidth="1"/>
    <col min="1996" max="1996" width="5.57421875" style="2" customWidth="1"/>
    <col min="1997" max="1998" width="8.7109375" style="2" customWidth="1"/>
    <col min="1999" max="1999" width="5.57421875" style="2" customWidth="1"/>
    <col min="2000" max="2001" width="8.7109375" style="2" customWidth="1"/>
    <col min="2002" max="2002" width="5.421875" style="2" customWidth="1"/>
    <col min="2003" max="2003" width="8.7109375" style="2" customWidth="1"/>
    <col min="2004" max="2004" width="5.57421875" style="2" customWidth="1"/>
    <col min="2005" max="2006" width="8.7109375" style="2" customWidth="1"/>
    <col min="2007" max="2007" width="5.57421875" style="2" customWidth="1"/>
    <col min="2008" max="2009" width="8.7109375" style="2" customWidth="1"/>
    <col min="2010" max="2010" width="5.57421875" style="2" customWidth="1"/>
    <col min="2011" max="2012" width="8.7109375" style="2" customWidth="1"/>
    <col min="2013" max="2224" width="5.28125" style="2" customWidth="1"/>
    <col min="2225" max="2225" width="5.421875" style="2" customWidth="1"/>
    <col min="2226" max="2226" width="8.7109375" style="2" customWidth="1"/>
    <col min="2227" max="2227" width="5.57421875" style="2" customWidth="1"/>
    <col min="2228" max="2229" width="8.7109375" style="2" customWidth="1"/>
    <col min="2230" max="2230" width="5.57421875" style="2" customWidth="1"/>
    <col min="2231" max="2232" width="8.7109375" style="2" customWidth="1"/>
    <col min="2233" max="2233" width="5.57421875" style="2" customWidth="1"/>
    <col min="2234" max="2235" width="8.7109375" style="2" customWidth="1"/>
    <col min="2236" max="2236" width="5.421875" style="2" customWidth="1"/>
    <col min="2237" max="2237" width="8.7109375" style="2" customWidth="1"/>
    <col min="2238" max="2238" width="5.57421875" style="2" customWidth="1"/>
    <col min="2239" max="2240" width="8.7109375" style="2" customWidth="1"/>
    <col min="2241" max="2241" width="5.57421875" style="2" customWidth="1"/>
    <col min="2242" max="2243" width="8.7109375" style="2" customWidth="1"/>
    <col min="2244" max="2244" width="5.57421875" style="2" customWidth="1"/>
    <col min="2245" max="2246" width="8.7109375" style="2" customWidth="1"/>
    <col min="2247" max="2247" width="5.421875" style="2" customWidth="1"/>
    <col min="2248" max="2248" width="8.7109375" style="2" customWidth="1"/>
    <col min="2249" max="2249" width="5.57421875" style="2" customWidth="1"/>
    <col min="2250" max="2251" width="8.7109375" style="2" customWidth="1"/>
    <col min="2252" max="2252" width="5.57421875" style="2" customWidth="1"/>
    <col min="2253" max="2254" width="8.7109375" style="2" customWidth="1"/>
    <col min="2255" max="2255" width="5.57421875" style="2" customWidth="1"/>
    <col min="2256" max="2257" width="8.7109375" style="2" customWidth="1"/>
    <col min="2258" max="2258" width="5.421875" style="2" customWidth="1"/>
    <col min="2259" max="2259" width="8.7109375" style="2" customWidth="1"/>
    <col min="2260" max="2260" width="5.57421875" style="2" customWidth="1"/>
    <col min="2261" max="2262" width="8.7109375" style="2" customWidth="1"/>
    <col min="2263" max="2263" width="5.57421875" style="2" customWidth="1"/>
    <col min="2264" max="2265" width="8.7109375" style="2" customWidth="1"/>
    <col min="2266" max="2266" width="5.57421875" style="2" customWidth="1"/>
    <col min="2267" max="2268" width="8.7109375" style="2" customWidth="1"/>
    <col min="2269" max="2480" width="5.28125" style="2" customWidth="1"/>
    <col min="2481" max="2481" width="5.421875" style="2" customWidth="1"/>
    <col min="2482" max="2482" width="8.7109375" style="2" customWidth="1"/>
    <col min="2483" max="2483" width="5.57421875" style="2" customWidth="1"/>
    <col min="2484" max="2485" width="8.7109375" style="2" customWidth="1"/>
    <col min="2486" max="2486" width="5.57421875" style="2" customWidth="1"/>
    <col min="2487" max="2488" width="8.7109375" style="2" customWidth="1"/>
    <col min="2489" max="2489" width="5.57421875" style="2" customWidth="1"/>
    <col min="2490" max="2491" width="8.7109375" style="2" customWidth="1"/>
    <col min="2492" max="2492" width="5.421875" style="2" customWidth="1"/>
    <col min="2493" max="2493" width="8.7109375" style="2" customWidth="1"/>
    <col min="2494" max="2494" width="5.57421875" style="2" customWidth="1"/>
    <col min="2495" max="2496" width="8.7109375" style="2" customWidth="1"/>
    <col min="2497" max="2497" width="5.57421875" style="2" customWidth="1"/>
    <col min="2498" max="2499" width="8.7109375" style="2" customWidth="1"/>
    <col min="2500" max="2500" width="5.57421875" style="2" customWidth="1"/>
    <col min="2501" max="2502" width="8.7109375" style="2" customWidth="1"/>
    <col min="2503" max="2503" width="5.421875" style="2" customWidth="1"/>
    <col min="2504" max="2504" width="8.7109375" style="2" customWidth="1"/>
    <col min="2505" max="2505" width="5.57421875" style="2" customWidth="1"/>
    <col min="2506" max="2507" width="8.7109375" style="2" customWidth="1"/>
    <col min="2508" max="2508" width="5.57421875" style="2" customWidth="1"/>
    <col min="2509" max="2510" width="8.7109375" style="2" customWidth="1"/>
    <col min="2511" max="2511" width="5.57421875" style="2" customWidth="1"/>
    <col min="2512" max="2513" width="8.7109375" style="2" customWidth="1"/>
    <col min="2514" max="2514" width="5.421875" style="2" customWidth="1"/>
    <col min="2515" max="2515" width="8.7109375" style="2" customWidth="1"/>
    <col min="2516" max="2516" width="5.57421875" style="2" customWidth="1"/>
    <col min="2517" max="2518" width="8.7109375" style="2" customWidth="1"/>
    <col min="2519" max="2519" width="5.57421875" style="2" customWidth="1"/>
    <col min="2520" max="2521" width="8.7109375" style="2" customWidth="1"/>
    <col min="2522" max="2522" width="5.57421875" style="2" customWidth="1"/>
    <col min="2523" max="2524" width="8.7109375" style="2" customWidth="1"/>
    <col min="2525" max="2736" width="5.28125" style="2" customWidth="1"/>
    <col min="2737" max="2737" width="5.421875" style="2" customWidth="1"/>
    <col min="2738" max="2738" width="8.7109375" style="2" customWidth="1"/>
    <col min="2739" max="2739" width="5.57421875" style="2" customWidth="1"/>
    <col min="2740" max="2741" width="8.7109375" style="2" customWidth="1"/>
    <col min="2742" max="2742" width="5.57421875" style="2" customWidth="1"/>
    <col min="2743" max="2744" width="8.7109375" style="2" customWidth="1"/>
    <col min="2745" max="2745" width="5.57421875" style="2" customWidth="1"/>
    <col min="2746" max="2747" width="8.7109375" style="2" customWidth="1"/>
    <col min="2748" max="2748" width="5.421875" style="2" customWidth="1"/>
    <col min="2749" max="2749" width="8.7109375" style="2" customWidth="1"/>
    <col min="2750" max="2750" width="5.57421875" style="2" customWidth="1"/>
    <col min="2751" max="2752" width="8.7109375" style="2" customWidth="1"/>
    <col min="2753" max="2753" width="5.57421875" style="2" customWidth="1"/>
    <col min="2754" max="2755" width="8.7109375" style="2" customWidth="1"/>
    <col min="2756" max="2756" width="5.57421875" style="2" customWidth="1"/>
    <col min="2757" max="2758" width="8.7109375" style="2" customWidth="1"/>
    <col min="2759" max="2759" width="5.421875" style="2" customWidth="1"/>
    <col min="2760" max="2760" width="8.7109375" style="2" customWidth="1"/>
    <col min="2761" max="2761" width="5.57421875" style="2" customWidth="1"/>
    <col min="2762" max="2763" width="8.7109375" style="2" customWidth="1"/>
    <col min="2764" max="2764" width="5.57421875" style="2" customWidth="1"/>
    <col min="2765" max="2766" width="8.7109375" style="2" customWidth="1"/>
    <col min="2767" max="2767" width="5.57421875" style="2" customWidth="1"/>
    <col min="2768" max="2769" width="8.7109375" style="2" customWidth="1"/>
    <col min="2770" max="2770" width="5.421875" style="2" customWidth="1"/>
    <col min="2771" max="2771" width="8.7109375" style="2" customWidth="1"/>
    <col min="2772" max="2772" width="5.57421875" style="2" customWidth="1"/>
    <col min="2773" max="2774" width="8.7109375" style="2" customWidth="1"/>
    <col min="2775" max="2775" width="5.57421875" style="2" customWidth="1"/>
    <col min="2776" max="2777" width="8.7109375" style="2" customWidth="1"/>
    <col min="2778" max="2778" width="5.57421875" style="2" customWidth="1"/>
    <col min="2779" max="2780" width="8.7109375" style="2" customWidth="1"/>
    <col min="2781" max="2992" width="5.28125" style="2" customWidth="1"/>
    <col min="2993" max="2993" width="5.421875" style="2" customWidth="1"/>
    <col min="2994" max="2994" width="8.7109375" style="2" customWidth="1"/>
    <col min="2995" max="2995" width="5.57421875" style="2" customWidth="1"/>
    <col min="2996" max="2997" width="8.7109375" style="2" customWidth="1"/>
    <col min="2998" max="2998" width="5.57421875" style="2" customWidth="1"/>
    <col min="2999" max="3000" width="8.7109375" style="2" customWidth="1"/>
    <col min="3001" max="3001" width="5.57421875" style="2" customWidth="1"/>
    <col min="3002" max="3003" width="8.7109375" style="2" customWidth="1"/>
    <col min="3004" max="3004" width="5.421875" style="2" customWidth="1"/>
    <col min="3005" max="3005" width="8.7109375" style="2" customWidth="1"/>
    <col min="3006" max="3006" width="5.57421875" style="2" customWidth="1"/>
    <col min="3007" max="3008" width="8.7109375" style="2" customWidth="1"/>
    <col min="3009" max="3009" width="5.57421875" style="2" customWidth="1"/>
    <col min="3010" max="3011" width="8.7109375" style="2" customWidth="1"/>
    <col min="3012" max="3012" width="5.57421875" style="2" customWidth="1"/>
    <col min="3013" max="3014" width="8.7109375" style="2" customWidth="1"/>
    <col min="3015" max="3015" width="5.421875" style="2" customWidth="1"/>
    <col min="3016" max="3016" width="8.7109375" style="2" customWidth="1"/>
    <col min="3017" max="3017" width="5.57421875" style="2" customWidth="1"/>
    <col min="3018" max="3019" width="8.7109375" style="2" customWidth="1"/>
    <col min="3020" max="3020" width="5.57421875" style="2" customWidth="1"/>
    <col min="3021" max="3022" width="8.7109375" style="2" customWidth="1"/>
    <col min="3023" max="3023" width="5.57421875" style="2" customWidth="1"/>
    <col min="3024" max="3025" width="8.7109375" style="2" customWidth="1"/>
    <col min="3026" max="3026" width="5.421875" style="2" customWidth="1"/>
    <col min="3027" max="3027" width="8.7109375" style="2" customWidth="1"/>
    <col min="3028" max="3028" width="5.57421875" style="2" customWidth="1"/>
    <col min="3029" max="3030" width="8.7109375" style="2" customWidth="1"/>
    <col min="3031" max="3031" width="5.57421875" style="2" customWidth="1"/>
    <col min="3032" max="3033" width="8.7109375" style="2" customWidth="1"/>
    <col min="3034" max="3034" width="5.57421875" style="2" customWidth="1"/>
    <col min="3035" max="3036" width="8.7109375" style="2" customWidth="1"/>
    <col min="3037" max="3248" width="5.28125" style="2" customWidth="1"/>
    <col min="3249" max="3249" width="5.421875" style="2" customWidth="1"/>
    <col min="3250" max="3250" width="8.7109375" style="2" customWidth="1"/>
    <col min="3251" max="3251" width="5.57421875" style="2" customWidth="1"/>
    <col min="3252" max="3253" width="8.7109375" style="2" customWidth="1"/>
    <col min="3254" max="3254" width="5.57421875" style="2" customWidth="1"/>
    <col min="3255" max="3256" width="8.7109375" style="2" customWidth="1"/>
    <col min="3257" max="3257" width="5.57421875" style="2" customWidth="1"/>
    <col min="3258" max="3259" width="8.7109375" style="2" customWidth="1"/>
    <col min="3260" max="3260" width="5.421875" style="2" customWidth="1"/>
    <col min="3261" max="3261" width="8.7109375" style="2" customWidth="1"/>
    <col min="3262" max="3262" width="5.57421875" style="2" customWidth="1"/>
    <col min="3263" max="3264" width="8.7109375" style="2" customWidth="1"/>
    <col min="3265" max="3265" width="5.57421875" style="2" customWidth="1"/>
    <col min="3266" max="3267" width="8.7109375" style="2" customWidth="1"/>
    <col min="3268" max="3268" width="5.57421875" style="2" customWidth="1"/>
    <col min="3269" max="3270" width="8.7109375" style="2" customWidth="1"/>
    <col min="3271" max="3271" width="5.421875" style="2" customWidth="1"/>
    <col min="3272" max="3272" width="8.7109375" style="2" customWidth="1"/>
    <col min="3273" max="3273" width="5.57421875" style="2" customWidth="1"/>
    <col min="3274" max="3275" width="8.7109375" style="2" customWidth="1"/>
    <col min="3276" max="3276" width="5.57421875" style="2" customWidth="1"/>
    <col min="3277" max="3278" width="8.7109375" style="2" customWidth="1"/>
    <col min="3279" max="3279" width="5.57421875" style="2" customWidth="1"/>
    <col min="3280" max="3281" width="8.7109375" style="2" customWidth="1"/>
    <col min="3282" max="3282" width="5.421875" style="2" customWidth="1"/>
    <col min="3283" max="3283" width="8.7109375" style="2" customWidth="1"/>
    <col min="3284" max="3284" width="5.57421875" style="2" customWidth="1"/>
    <col min="3285" max="3286" width="8.7109375" style="2" customWidth="1"/>
    <col min="3287" max="3287" width="5.57421875" style="2" customWidth="1"/>
    <col min="3288" max="3289" width="8.7109375" style="2" customWidth="1"/>
    <col min="3290" max="3290" width="5.57421875" style="2" customWidth="1"/>
    <col min="3291" max="3292" width="8.7109375" style="2" customWidth="1"/>
    <col min="3293" max="3504" width="5.28125" style="2" customWidth="1"/>
    <col min="3505" max="3505" width="5.421875" style="2" customWidth="1"/>
    <col min="3506" max="3506" width="8.7109375" style="2" customWidth="1"/>
    <col min="3507" max="3507" width="5.57421875" style="2" customWidth="1"/>
    <col min="3508" max="3509" width="8.7109375" style="2" customWidth="1"/>
    <col min="3510" max="3510" width="5.57421875" style="2" customWidth="1"/>
    <col min="3511" max="3512" width="8.7109375" style="2" customWidth="1"/>
    <col min="3513" max="3513" width="5.57421875" style="2" customWidth="1"/>
    <col min="3514" max="3515" width="8.7109375" style="2" customWidth="1"/>
    <col min="3516" max="3516" width="5.421875" style="2" customWidth="1"/>
    <col min="3517" max="3517" width="8.7109375" style="2" customWidth="1"/>
    <col min="3518" max="3518" width="5.57421875" style="2" customWidth="1"/>
    <col min="3519" max="3520" width="8.7109375" style="2" customWidth="1"/>
    <col min="3521" max="3521" width="5.57421875" style="2" customWidth="1"/>
    <col min="3522" max="3523" width="8.7109375" style="2" customWidth="1"/>
    <col min="3524" max="3524" width="5.57421875" style="2" customWidth="1"/>
    <col min="3525" max="3526" width="8.7109375" style="2" customWidth="1"/>
    <col min="3527" max="3527" width="5.421875" style="2" customWidth="1"/>
    <col min="3528" max="3528" width="8.7109375" style="2" customWidth="1"/>
    <col min="3529" max="3529" width="5.57421875" style="2" customWidth="1"/>
    <col min="3530" max="3531" width="8.7109375" style="2" customWidth="1"/>
    <col min="3532" max="3532" width="5.57421875" style="2" customWidth="1"/>
    <col min="3533" max="3534" width="8.7109375" style="2" customWidth="1"/>
    <col min="3535" max="3535" width="5.57421875" style="2" customWidth="1"/>
    <col min="3536" max="3537" width="8.7109375" style="2" customWidth="1"/>
    <col min="3538" max="3538" width="5.421875" style="2" customWidth="1"/>
    <col min="3539" max="3539" width="8.7109375" style="2" customWidth="1"/>
    <col min="3540" max="3540" width="5.57421875" style="2" customWidth="1"/>
    <col min="3541" max="3542" width="8.7109375" style="2" customWidth="1"/>
    <col min="3543" max="3543" width="5.57421875" style="2" customWidth="1"/>
    <col min="3544" max="3545" width="8.7109375" style="2" customWidth="1"/>
    <col min="3546" max="3546" width="5.57421875" style="2" customWidth="1"/>
    <col min="3547" max="3548" width="8.7109375" style="2" customWidth="1"/>
    <col min="3549" max="3760" width="5.28125" style="2" customWidth="1"/>
    <col min="3761" max="3761" width="5.421875" style="2" customWidth="1"/>
    <col min="3762" max="3762" width="8.7109375" style="2" customWidth="1"/>
    <col min="3763" max="3763" width="5.57421875" style="2" customWidth="1"/>
    <col min="3764" max="3765" width="8.7109375" style="2" customWidth="1"/>
    <col min="3766" max="3766" width="5.57421875" style="2" customWidth="1"/>
    <col min="3767" max="3768" width="8.7109375" style="2" customWidth="1"/>
    <col min="3769" max="3769" width="5.57421875" style="2" customWidth="1"/>
    <col min="3770" max="3771" width="8.7109375" style="2" customWidth="1"/>
    <col min="3772" max="3772" width="5.421875" style="2" customWidth="1"/>
    <col min="3773" max="3773" width="8.7109375" style="2" customWidth="1"/>
    <col min="3774" max="3774" width="5.57421875" style="2" customWidth="1"/>
    <col min="3775" max="3776" width="8.7109375" style="2" customWidth="1"/>
    <col min="3777" max="3777" width="5.57421875" style="2" customWidth="1"/>
    <col min="3778" max="3779" width="8.7109375" style="2" customWidth="1"/>
    <col min="3780" max="3780" width="5.57421875" style="2" customWidth="1"/>
    <col min="3781" max="3782" width="8.7109375" style="2" customWidth="1"/>
    <col min="3783" max="3783" width="5.421875" style="2" customWidth="1"/>
    <col min="3784" max="3784" width="8.7109375" style="2" customWidth="1"/>
    <col min="3785" max="3785" width="5.57421875" style="2" customWidth="1"/>
    <col min="3786" max="3787" width="8.7109375" style="2" customWidth="1"/>
    <col min="3788" max="3788" width="5.57421875" style="2" customWidth="1"/>
    <col min="3789" max="3790" width="8.7109375" style="2" customWidth="1"/>
    <col min="3791" max="3791" width="5.57421875" style="2" customWidth="1"/>
    <col min="3792" max="3793" width="8.7109375" style="2" customWidth="1"/>
    <col min="3794" max="3794" width="5.421875" style="2" customWidth="1"/>
    <col min="3795" max="3795" width="8.7109375" style="2" customWidth="1"/>
    <col min="3796" max="3796" width="5.57421875" style="2" customWidth="1"/>
    <col min="3797" max="3798" width="8.7109375" style="2" customWidth="1"/>
    <col min="3799" max="3799" width="5.57421875" style="2" customWidth="1"/>
    <col min="3800" max="3801" width="8.7109375" style="2" customWidth="1"/>
    <col min="3802" max="3802" width="5.57421875" style="2" customWidth="1"/>
    <col min="3803" max="3804" width="8.7109375" style="2" customWidth="1"/>
    <col min="3805" max="4016" width="5.28125" style="2" customWidth="1"/>
    <col min="4017" max="4017" width="5.421875" style="2" customWidth="1"/>
    <col min="4018" max="4018" width="8.7109375" style="2" customWidth="1"/>
    <col min="4019" max="4019" width="5.57421875" style="2" customWidth="1"/>
    <col min="4020" max="4021" width="8.7109375" style="2" customWidth="1"/>
    <col min="4022" max="4022" width="5.57421875" style="2" customWidth="1"/>
    <col min="4023" max="4024" width="8.7109375" style="2" customWidth="1"/>
    <col min="4025" max="4025" width="5.57421875" style="2" customWidth="1"/>
    <col min="4026" max="4027" width="8.7109375" style="2" customWidth="1"/>
    <col min="4028" max="4028" width="5.421875" style="2" customWidth="1"/>
    <col min="4029" max="4029" width="8.7109375" style="2" customWidth="1"/>
    <col min="4030" max="4030" width="5.57421875" style="2" customWidth="1"/>
    <col min="4031" max="4032" width="8.7109375" style="2" customWidth="1"/>
    <col min="4033" max="4033" width="5.57421875" style="2" customWidth="1"/>
    <col min="4034" max="4035" width="8.7109375" style="2" customWidth="1"/>
    <col min="4036" max="4036" width="5.57421875" style="2" customWidth="1"/>
    <col min="4037" max="4038" width="8.7109375" style="2" customWidth="1"/>
    <col min="4039" max="4039" width="5.421875" style="2" customWidth="1"/>
    <col min="4040" max="4040" width="8.7109375" style="2" customWidth="1"/>
    <col min="4041" max="4041" width="5.57421875" style="2" customWidth="1"/>
    <col min="4042" max="4043" width="8.7109375" style="2" customWidth="1"/>
    <col min="4044" max="4044" width="5.57421875" style="2" customWidth="1"/>
    <col min="4045" max="4046" width="8.7109375" style="2" customWidth="1"/>
    <col min="4047" max="4047" width="5.57421875" style="2" customWidth="1"/>
    <col min="4048" max="4049" width="8.7109375" style="2" customWidth="1"/>
    <col min="4050" max="4050" width="5.421875" style="2" customWidth="1"/>
    <col min="4051" max="4051" width="8.7109375" style="2" customWidth="1"/>
    <col min="4052" max="4052" width="5.57421875" style="2" customWidth="1"/>
    <col min="4053" max="4054" width="8.7109375" style="2" customWidth="1"/>
    <col min="4055" max="4055" width="5.57421875" style="2" customWidth="1"/>
    <col min="4056" max="4057" width="8.7109375" style="2" customWidth="1"/>
    <col min="4058" max="4058" width="5.57421875" style="2" customWidth="1"/>
    <col min="4059" max="4060" width="8.7109375" style="2" customWidth="1"/>
    <col min="4061" max="4272" width="5.28125" style="2" customWidth="1"/>
    <col min="4273" max="4273" width="5.421875" style="2" customWidth="1"/>
    <col min="4274" max="4274" width="8.7109375" style="2" customWidth="1"/>
    <col min="4275" max="4275" width="5.57421875" style="2" customWidth="1"/>
    <col min="4276" max="4277" width="8.7109375" style="2" customWidth="1"/>
    <col min="4278" max="4278" width="5.57421875" style="2" customWidth="1"/>
    <col min="4279" max="4280" width="8.7109375" style="2" customWidth="1"/>
    <col min="4281" max="4281" width="5.57421875" style="2" customWidth="1"/>
    <col min="4282" max="4283" width="8.7109375" style="2" customWidth="1"/>
    <col min="4284" max="4284" width="5.421875" style="2" customWidth="1"/>
    <col min="4285" max="4285" width="8.7109375" style="2" customWidth="1"/>
    <col min="4286" max="4286" width="5.57421875" style="2" customWidth="1"/>
    <col min="4287" max="4288" width="8.7109375" style="2" customWidth="1"/>
    <col min="4289" max="4289" width="5.57421875" style="2" customWidth="1"/>
    <col min="4290" max="4291" width="8.7109375" style="2" customWidth="1"/>
    <col min="4292" max="4292" width="5.57421875" style="2" customWidth="1"/>
    <col min="4293" max="4294" width="8.7109375" style="2" customWidth="1"/>
    <col min="4295" max="4295" width="5.421875" style="2" customWidth="1"/>
    <col min="4296" max="4296" width="8.7109375" style="2" customWidth="1"/>
    <col min="4297" max="4297" width="5.57421875" style="2" customWidth="1"/>
    <col min="4298" max="4299" width="8.7109375" style="2" customWidth="1"/>
    <col min="4300" max="4300" width="5.57421875" style="2" customWidth="1"/>
    <col min="4301" max="4302" width="8.7109375" style="2" customWidth="1"/>
    <col min="4303" max="4303" width="5.57421875" style="2" customWidth="1"/>
    <col min="4304" max="4305" width="8.7109375" style="2" customWidth="1"/>
    <col min="4306" max="4306" width="5.421875" style="2" customWidth="1"/>
    <col min="4307" max="4307" width="8.7109375" style="2" customWidth="1"/>
    <col min="4308" max="4308" width="5.57421875" style="2" customWidth="1"/>
    <col min="4309" max="4310" width="8.7109375" style="2" customWidth="1"/>
    <col min="4311" max="4311" width="5.57421875" style="2" customWidth="1"/>
    <col min="4312" max="4313" width="8.7109375" style="2" customWidth="1"/>
    <col min="4314" max="4314" width="5.57421875" style="2" customWidth="1"/>
    <col min="4315" max="4316" width="8.7109375" style="2" customWidth="1"/>
    <col min="4317" max="4528" width="5.28125" style="2" customWidth="1"/>
    <col min="4529" max="4529" width="5.421875" style="2" customWidth="1"/>
    <col min="4530" max="4530" width="8.7109375" style="2" customWidth="1"/>
    <col min="4531" max="4531" width="5.57421875" style="2" customWidth="1"/>
    <col min="4532" max="4533" width="8.7109375" style="2" customWidth="1"/>
    <col min="4534" max="4534" width="5.57421875" style="2" customWidth="1"/>
    <col min="4535" max="4536" width="8.7109375" style="2" customWidth="1"/>
    <col min="4537" max="4537" width="5.57421875" style="2" customWidth="1"/>
    <col min="4538" max="4539" width="8.7109375" style="2" customWidth="1"/>
    <col min="4540" max="4540" width="5.421875" style="2" customWidth="1"/>
    <col min="4541" max="4541" width="8.7109375" style="2" customWidth="1"/>
    <col min="4542" max="4542" width="5.57421875" style="2" customWidth="1"/>
    <col min="4543" max="4544" width="8.7109375" style="2" customWidth="1"/>
    <col min="4545" max="4545" width="5.57421875" style="2" customWidth="1"/>
    <col min="4546" max="4547" width="8.7109375" style="2" customWidth="1"/>
    <col min="4548" max="4548" width="5.57421875" style="2" customWidth="1"/>
    <col min="4549" max="4550" width="8.7109375" style="2" customWidth="1"/>
    <col min="4551" max="4551" width="5.421875" style="2" customWidth="1"/>
    <col min="4552" max="4552" width="8.7109375" style="2" customWidth="1"/>
    <col min="4553" max="4553" width="5.57421875" style="2" customWidth="1"/>
    <col min="4554" max="4555" width="8.7109375" style="2" customWidth="1"/>
    <col min="4556" max="4556" width="5.57421875" style="2" customWidth="1"/>
    <col min="4557" max="4558" width="8.7109375" style="2" customWidth="1"/>
    <col min="4559" max="4559" width="5.57421875" style="2" customWidth="1"/>
    <col min="4560" max="4561" width="8.7109375" style="2" customWidth="1"/>
    <col min="4562" max="4562" width="5.421875" style="2" customWidth="1"/>
    <col min="4563" max="4563" width="8.7109375" style="2" customWidth="1"/>
    <col min="4564" max="4564" width="5.57421875" style="2" customWidth="1"/>
    <col min="4565" max="4566" width="8.7109375" style="2" customWidth="1"/>
    <col min="4567" max="4567" width="5.57421875" style="2" customWidth="1"/>
    <col min="4568" max="4569" width="8.7109375" style="2" customWidth="1"/>
    <col min="4570" max="4570" width="5.57421875" style="2" customWidth="1"/>
    <col min="4571" max="4572" width="8.7109375" style="2" customWidth="1"/>
    <col min="4573" max="4784" width="5.28125" style="2" customWidth="1"/>
    <col min="4785" max="4785" width="5.421875" style="2" customWidth="1"/>
    <col min="4786" max="4786" width="8.7109375" style="2" customWidth="1"/>
    <col min="4787" max="4787" width="5.57421875" style="2" customWidth="1"/>
    <col min="4788" max="4789" width="8.7109375" style="2" customWidth="1"/>
    <col min="4790" max="4790" width="5.57421875" style="2" customWidth="1"/>
    <col min="4791" max="4792" width="8.7109375" style="2" customWidth="1"/>
    <col min="4793" max="4793" width="5.57421875" style="2" customWidth="1"/>
    <col min="4794" max="4795" width="8.7109375" style="2" customWidth="1"/>
    <col min="4796" max="4796" width="5.421875" style="2" customWidth="1"/>
    <col min="4797" max="4797" width="8.7109375" style="2" customWidth="1"/>
    <col min="4798" max="4798" width="5.57421875" style="2" customWidth="1"/>
    <col min="4799" max="4800" width="8.7109375" style="2" customWidth="1"/>
    <col min="4801" max="4801" width="5.57421875" style="2" customWidth="1"/>
    <col min="4802" max="4803" width="8.7109375" style="2" customWidth="1"/>
    <col min="4804" max="4804" width="5.57421875" style="2" customWidth="1"/>
    <col min="4805" max="4806" width="8.7109375" style="2" customWidth="1"/>
    <col min="4807" max="4807" width="5.421875" style="2" customWidth="1"/>
    <col min="4808" max="4808" width="8.7109375" style="2" customWidth="1"/>
    <col min="4809" max="4809" width="5.57421875" style="2" customWidth="1"/>
    <col min="4810" max="4811" width="8.7109375" style="2" customWidth="1"/>
    <col min="4812" max="4812" width="5.57421875" style="2" customWidth="1"/>
    <col min="4813" max="4814" width="8.7109375" style="2" customWidth="1"/>
    <col min="4815" max="4815" width="5.57421875" style="2" customWidth="1"/>
    <col min="4816" max="4817" width="8.7109375" style="2" customWidth="1"/>
    <col min="4818" max="4818" width="5.421875" style="2" customWidth="1"/>
    <col min="4819" max="4819" width="8.7109375" style="2" customWidth="1"/>
    <col min="4820" max="4820" width="5.57421875" style="2" customWidth="1"/>
    <col min="4821" max="4822" width="8.7109375" style="2" customWidth="1"/>
    <col min="4823" max="4823" width="5.57421875" style="2" customWidth="1"/>
    <col min="4824" max="4825" width="8.7109375" style="2" customWidth="1"/>
    <col min="4826" max="4826" width="5.57421875" style="2" customWidth="1"/>
    <col min="4827" max="4828" width="8.7109375" style="2" customWidth="1"/>
    <col min="4829" max="5040" width="5.28125" style="2" customWidth="1"/>
    <col min="5041" max="5041" width="5.421875" style="2" customWidth="1"/>
    <col min="5042" max="5042" width="8.7109375" style="2" customWidth="1"/>
    <col min="5043" max="5043" width="5.57421875" style="2" customWidth="1"/>
    <col min="5044" max="5045" width="8.7109375" style="2" customWidth="1"/>
    <col min="5046" max="5046" width="5.57421875" style="2" customWidth="1"/>
    <col min="5047" max="5048" width="8.7109375" style="2" customWidth="1"/>
    <col min="5049" max="5049" width="5.57421875" style="2" customWidth="1"/>
    <col min="5050" max="5051" width="8.7109375" style="2" customWidth="1"/>
    <col min="5052" max="5052" width="5.421875" style="2" customWidth="1"/>
    <col min="5053" max="5053" width="8.7109375" style="2" customWidth="1"/>
    <col min="5054" max="5054" width="5.57421875" style="2" customWidth="1"/>
    <col min="5055" max="5056" width="8.7109375" style="2" customWidth="1"/>
    <col min="5057" max="5057" width="5.57421875" style="2" customWidth="1"/>
    <col min="5058" max="5059" width="8.7109375" style="2" customWidth="1"/>
    <col min="5060" max="5060" width="5.57421875" style="2" customWidth="1"/>
    <col min="5061" max="5062" width="8.7109375" style="2" customWidth="1"/>
    <col min="5063" max="5063" width="5.421875" style="2" customWidth="1"/>
    <col min="5064" max="5064" width="8.7109375" style="2" customWidth="1"/>
    <col min="5065" max="5065" width="5.57421875" style="2" customWidth="1"/>
    <col min="5066" max="5067" width="8.7109375" style="2" customWidth="1"/>
    <col min="5068" max="5068" width="5.57421875" style="2" customWidth="1"/>
    <col min="5069" max="5070" width="8.7109375" style="2" customWidth="1"/>
    <col min="5071" max="5071" width="5.57421875" style="2" customWidth="1"/>
    <col min="5072" max="5073" width="8.7109375" style="2" customWidth="1"/>
    <col min="5074" max="5074" width="5.421875" style="2" customWidth="1"/>
    <col min="5075" max="5075" width="8.7109375" style="2" customWidth="1"/>
    <col min="5076" max="5076" width="5.57421875" style="2" customWidth="1"/>
    <col min="5077" max="5078" width="8.7109375" style="2" customWidth="1"/>
    <col min="5079" max="5079" width="5.57421875" style="2" customWidth="1"/>
    <col min="5080" max="5081" width="8.7109375" style="2" customWidth="1"/>
    <col min="5082" max="5082" width="5.57421875" style="2" customWidth="1"/>
    <col min="5083" max="5084" width="8.7109375" style="2" customWidth="1"/>
    <col min="5085" max="5296" width="5.28125" style="2" customWidth="1"/>
    <col min="5297" max="5297" width="5.421875" style="2" customWidth="1"/>
    <col min="5298" max="5298" width="8.7109375" style="2" customWidth="1"/>
    <col min="5299" max="5299" width="5.57421875" style="2" customWidth="1"/>
    <col min="5300" max="5301" width="8.7109375" style="2" customWidth="1"/>
    <col min="5302" max="5302" width="5.57421875" style="2" customWidth="1"/>
    <col min="5303" max="5304" width="8.7109375" style="2" customWidth="1"/>
    <col min="5305" max="5305" width="5.57421875" style="2" customWidth="1"/>
    <col min="5306" max="5307" width="8.7109375" style="2" customWidth="1"/>
    <col min="5308" max="5308" width="5.421875" style="2" customWidth="1"/>
    <col min="5309" max="5309" width="8.7109375" style="2" customWidth="1"/>
    <col min="5310" max="5310" width="5.57421875" style="2" customWidth="1"/>
    <col min="5311" max="5312" width="8.7109375" style="2" customWidth="1"/>
    <col min="5313" max="5313" width="5.57421875" style="2" customWidth="1"/>
    <col min="5314" max="5315" width="8.7109375" style="2" customWidth="1"/>
    <col min="5316" max="5316" width="5.57421875" style="2" customWidth="1"/>
    <col min="5317" max="5318" width="8.7109375" style="2" customWidth="1"/>
    <col min="5319" max="5319" width="5.421875" style="2" customWidth="1"/>
    <col min="5320" max="5320" width="8.7109375" style="2" customWidth="1"/>
    <col min="5321" max="5321" width="5.57421875" style="2" customWidth="1"/>
    <col min="5322" max="5323" width="8.7109375" style="2" customWidth="1"/>
    <col min="5324" max="5324" width="5.57421875" style="2" customWidth="1"/>
    <col min="5325" max="5326" width="8.7109375" style="2" customWidth="1"/>
    <col min="5327" max="5327" width="5.57421875" style="2" customWidth="1"/>
    <col min="5328" max="5329" width="8.7109375" style="2" customWidth="1"/>
    <col min="5330" max="5330" width="5.421875" style="2" customWidth="1"/>
    <col min="5331" max="5331" width="8.7109375" style="2" customWidth="1"/>
    <col min="5332" max="5332" width="5.57421875" style="2" customWidth="1"/>
    <col min="5333" max="5334" width="8.7109375" style="2" customWidth="1"/>
    <col min="5335" max="5335" width="5.57421875" style="2" customWidth="1"/>
    <col min="5336" max="5337" width="8.7109375" style="2" customWidth="1"/>
    <col min="5338" max="5338" width="5.57421875" style="2" customWidth="1"/>
    <col min="5339" max="5340" width="8.7109375" style="2" customWidth="1"/>
    <col min="5341" max="5552" width="5.28125" style="2" customWidth="1"/>
    <col min="5553" max="5553" width="5.421875" style="2" customWidth="1"/>
    <col min="5554" max="5554" width="8.7109375" style="2" customWidth="1"/>
    <col min="5555" max="5555" width="5.57421875" style="2" customWidth="1"/>
    <col min="5556" max="5557" width="8.7109375" style="2" customWidth="1"/>
    <col min="5558" max="5558" width="5.57421875" style="2" customWidth="1"/>
    <col min="5559" max="5560" width="8.7109375" style="2" customWidth="1"/>
    <col min="5561" max="5561" width="5.57421875" style="2" customWidth="1"/>
    <col min="5562" max="5563" width="8.7109375" style="2" customWidth="1"/>
    <col min="5564" max="5564" width="5.421875" style="2" customWidth="1"/>
    <col min="5565" max="5565" width="8.7109375" style="2" customWidth="1"/>
    <col min="5566" max="5566" width="5.57421875" style="2" customWidth="1"/>
    <col min="5567" max="5568" width="8.7109375" style="2" customWidth="1"/>
    <col min="5569" max="5569" width="5.57421875" style="2" customWidth="1"/>
    <col min="5570" max="5571" width="8.7109375" style="2" customWidth="1"/>
    <col min="5572" max="5572" width="5.57421875" style="2" customWidth="1"/>
    <col min="5573" max="5574" width="8.7109375" style="2" customWidth="1"/>
    <col min="5575" max="5575" width="5.421875" style="2" customWidth="1"/>
    <col min="5576" max="5576" width="8.7109375" style="2" customWidth="1"/>
    <col min="5577" max="5577" width="5.57421875" style="2" customWidth="1"/>
    <col min="5578" max="5579" width="8.7109375" style="2" customWidth="1"/>
    <col min="5580" max="5580" width="5.57421875" style="2" customWidth="1"/>
    <col min="5581" max="5582" width="8.7109375" style="2" customWidth="1"/>
    <col min="5583" max="5583" width="5.57421875" style="2" customWidth="1"/>
    <col min="5584" max="5585" width="8.7109375" style="2" customWidth="1"/>
    <col min="5586" max="5586" width="5.421875" style="2" customWidth="1"/>
    <col min="5587" max="5587" width="8.7109375" style="2" customWidth="1"/>
    <col min="5588" max="5588" width="5.57421875" style="2" customWidth="1"/>
    <col min="5589" max="5590" width="8.7109375" style="2" customWidth="1"/>
    <col min="5591" max="5591" width="5.57421875" style="2" customWidth="1"/>
    <col min="5592" max="5593" width="8.7109375" style="2" customWidth="1"/>
    <col min="5594" max="5594" width="5.57421875" style="2" customWidth="1"/>
    <col min="5595" max="5596" width="8.7109375" style="2" customWidth="1"/>
    <col min="5597" max="5808" width="5.28125" style="2" customWidth="1"/>
    <col min="5809" max="5809" width="5.421875" style="2" customWidth="1"/>
    <col min="5810" max="5810" width="8.7109375" style="2" customWidth="1"/>
    <col min="5811" max="5811" width="5.57421875" style="2" customWidth="1"/>
    <col min="5812" max="5813" width="8.7109375" style="2" customWidth="1"/>
    <col min="5814" max="5814" width="5.57421875" style="2" customWidth="1"/>
    <col min="5815" max="5816" width="8.7109375" style="2" customWidth="1"/>
    <col min="5817" max="5817" width="5.57421875" style="2" customWidth="1"/>
    <col min="5818" max="5819" width="8.7109375" style="2" customWidth="1"/>
    <col min="5820" max="5820" width="5.421875" style="2" customWidth="1"/>
    <col min="5821" max="5821" width="8.7109375" style="2" customWidth="1"/>
    <col min="5822" max="5822" width="5.57421875" style="2" customWidth="1"/>
    <col min="5823" max="5824" width="8.7109375" style="2" customWidth="1"/>
    <col min="5825" max="5825" width="5.57421875" style="2" customWidth="1"/>
    <col min="5826" max="5827" width="8.7109375" style="2" customWidth="1"/>
    <col min="5828" max="5828" width="5.57421875" style="2" customWidth="1"/>
    <col min="5829" max="5830" width="8.7109375" style="2" customWidth="1"/>
    <col min="5831" max="5831" width="5.421875" style="2" customWidth="1"/>
    <col min="5832" max="5832" width="8.7109375" style="2" customWidth="1"/>
    <col min="5833" max="5833" width="5.57421875" style="2" customWidth="1"/>
    <col min="5834" max="5835" width="8.7109375" style="2" customWidth="1"/>
    <col min="5836" max="5836" width="5.57421875" style="2" customWidth="1"/>
    <col min="5837" max="5838" width="8.7109375" style="2" customWidth="1"/>
    <col min="5839" max="5839" width="5.57421875" style="2" customWidth="1"/>
    <col min="5840" max="5841" width="8.7109375" style="2" customWidth="1"/>
    <col min="5842" max="5842" width="5.421875" style="2" customWidth="1"/>
    <col min="5843" max="5843" width="8.7109375" style="2" customWidth="1"/>
    <col min="5844" max="5844" width="5.57421875" style="2" customWidth="1"/>
    <col min="5845" max="5846" width="8.7109375" style="2" customWidth="1"/>
    <col min="5847" max="5847" width="5.57421875" style="2" customWidth="1"/>
    <col min="5848" max="5849" width="8.7109375" style="2" customWidth="1"/>
    <col min="5850" max="5850" width="5.57421875" style="2" customWidth="1"/>
    <col min="5851" max="5852" width="8.7109375" style="2" customWidth="1"/>
    <col min="5853" max="6064" width="5.28125" style="2" customWidth="1"/>
    <col min="6065" max="6065" width="5.421875" style="2" customWidth="1"/>
    <col min="6066" max="6066" width="8.7109375" style="2" customWidth="1"/>
    <col min="6067" max="6067" width="5.57421875" style="2" customWidth="1"/>
    <col min="6068" max="6069" width="8.7109375" style="2" customWidth="1"/>
    <col min="6070" max="6070" width="5.57421875" style="2" customWidth="1"/>
    <col min="6071" max="6072" width="8.7109375" style="2" customWidth="1"/>
    <col min="6073" max="6073" width="5.57421875" style="2" customWidth="1"/>
    <col min="6074" max="6075" width="8.7109375" style="2" customWidth="1"/>
    <col min="6076" max="6076" width="5.421875" style="2" customWidth="1"/>
    <col min="6077" max="6077" width="8.7109375" style="2" customWidth="1"/>
    <col min="6078" max="6078" width="5.57421875" style="2" customWidth="1"/>
    <col min="6079" max="6080" width="8.7109375" style="2" customWidth="1"/>
    <col min="6081" max="6081" width="5.57421875" style="2" customWidth="1"/>
    <col min="6082" max="6083" width="8.7109375" style="2" customWidth="1"/>
    <col min="6084" max="6084" width="5.57421875" style="2" customWidth="1"/>
    <col min="6085" max="6086" width="8.7109375" style="2" customWidth="1"/>
    <col min="6087" max="6087" width="5.421875" style="2" customWidth="1"/>
    <col min="6088" max="6088" width="8.7109375" style="2" customWidth="1"/>
    <col min="6089" max="6089" width="5.57421875" style="2" customWidth="1"/>
    <col min="6090" max="6091" width="8.7109375" style="2" customWidth="1"/>
    <col min="6092" max="6092" width="5.57421875" style="2" customWidth="1"/>
    <col min="6093" max="6094" width="8.7109375" style="2" customWidth="1"/>
    <col min="6095" max="6095" width="5.57421875" style="2" customWidth="1"/>
    <col min="6096" max="6097" width="8.7109375" style="2" customWidth="1"/>
    <col min="6098" max="6098" width="5.421875" style="2" customWidth="1"/>
    <col min="6099" max="6099" width="8.7109375" style="2" customWidth="1"/>
    <col min="6100" max="6100" width="5.57421875" style="2" customWidth="1"/>
    <col min="6101" max="6102" width="8.7109375" style="2" customWidth="1"/>
    <col min="6103" max="6103" width="5.57421875" style="2" customWidth="1"/>
    <col min="6104" max="6105" width="8.7109375" style="2" customWidth="1"/>
    <col min="6106" max="6106" width="5.57421875" style="2" customWidth="1"/>
    <col min="6107" max="6108" width="8.7109375" style="2" customWidth="1"/>
    <col min="6109" max="6320" width="5.28125" style="2" customWidth="1"/>
    <col min="6321" max="6321" width="5.421875" style="2" customWidth="1"/>
    <col min="6322" max="6322" width="8.7109375" style="2" customWidth="1"/>
    <col min="6323" max="6323" width="5.57421875" style="2" customWidth="1"/>
    <col min="6324" max="6325" width="8.7109375" style="2" customWidth="1"/>
    <col min="6326" max="6326" width="5.57421875" style="2" customWidth="1"/>
    <col min="6327" max="6328" width="8.7109375" style="2" customWidth="1"/>
    <col min="6329" max="6329" width="5.57421875" style="2" customWidth="1"/>
    <col min="6330" max="6331" width="8.7109375" style="2" customWidth="1"/>
    <col min="6332" max="6332" width="5.421875" style="2" customWidth="1"/>
    <col min="6333" max="6333" width="8.7109375" style="2" customWidth="1"/>
    <col min="6334" max="6334" width="5.57421875" style="2" customWidth="1"/>
    <col min="6335" max="6336" width="8.7109375" style="2" customWidth="1"/>
    <col min="6337" max="6337" width="5.57421875" style="2" customWidth="1"/>
    <col min="6338" max="6339" width="8.7109375" style="2" customWidth="1"/>
    <col min="6340" max="6340" width="5.57421875" style="2" customWidth="1"/>
    <col min="6341" max="6342" width="8.7109375" style="2" customWidth="1"/>
    <col min="6343" max="6343" width="5.421875" style="2" customWidth="1"/>
    <col min="6344" max="6344" width="8.7109375" style="2" customWidth="1"/>
    <col min="6345" max="6345" width="5.57421875" style="2" customWidth="1"/>
    <col min="6346" max="6347" width="8.7109375" style="2" customWidth="1"/>
    <col min="6348" max="6348" width="5.57421875" style="2" customWidth="1"/>
    <col min="6349" max="6350" width="8.7109375" style="2" customWidth="1"/>
    <col min="6351" max="6351" width="5.57421875" style="2" customWidth="1"/>
    <col min="6352" max="6353" width="8.7109375" style="2" customWidth="1"/>
    <col min="6354" max="6354" width="5.421875" style="2" customWidth="1"/>
    <col min="6355" max="6355" width="8.7109375" style="2" customWidth="1"/>
    <col min="6356" max="6356" width="5.57421875" style="2" customWidth="1"/>
    <col min="6357" max="6358" width="8.7109375" style="2" customWidth="1"/>
    <col min="6359" max="6359" width="5.57421875" style="2" customWidth="1"/>
    <col min="6360" max="6361" width="8.7109375" style="2" customWidth="1"/>
    <col min="6362" max="6362" width="5.57421875" style="2" customWidth="1"/>
    <col min="6363" max="6364" width="8.7109375" style="2" customWidth="1"/>
    <col min="6365" max="6576" width="5.28125" style="2" customWidth="1"/>
    <col min="6577" max="6577" width="5.421875" style="2" customWidth="1"/>
    <col min="6578" max="6578" width="8.7109375" style="2" customWidth="1"/>
    <col min="6579" max="6579" width="5.57421875" style="2" customWidth="1"/>
    <col min="6580" max="6581" width="8.7109375" style="2" customWidth="1"/>
    <col min="6582" max="6582" width="5.57421875" style="2" customWidth="1"/>
    <col min="6583" max="6584" width="8.7109375" style="2" customWidth="1"/>
    <col min="6585" max="6585" width="5.57421875" style="2" customWidth="1"/>
    <col min="6586" max="6587" width="8.7109375" style="2" customWidth="1"/>
    <col min="6588" max="6588" width="5.421875" style="2" customWidth="1"/>
    <col min="6589" max="6589" width="8.7109375" style="2" customWidth="1"/>
    <col min="6590" max="6590" width="5.57421875" style="2" customWidth="1"/>
    <col min="6591" max="6592" width="8.7109375" style="2" customWidth="1"/>
    <col min="6593" max="6593" width="5.57421875" style="2" customWidth="1"/>
    <col min="6594" max="6595" width="8.7109375" style="2" customWidth="1"/>
    <col min="6596" max="6596" width="5.57421875" style="2" customWidth="1"/>
    <col min="6597" max="6598" width="8.7109375" style="2" customWidth="1"/>
    <col min="6599" max="6599" width="5.421875" style="2" customWidth="1"/>
    <col min="6600" max="6600" width="8.7109375" style="2" customWidth="1"/>
    <col min="6601" max="6601" width="5.57421875" style="2" customWidth="1"/>
    <col min="6602" max="6603" width="8.7109375" style="2" customWidth="1"/>
    <col min="6604" max="6604" width="5.57421875" style="2" customWidth="1"/>
    <col min="6605" max="6606" width="8.7109375" style="2" customWidth="1"/>
    <col min="6607" max="6607" width="5.57421875" style="2" customWidth="1"/>
    <col min="6608" max="6609" width="8.7109375" style="2" customWidth="1"/>
    <col min="6610" max="6610" width="5.421875" style="2" customWidth="1"/>
    <col min="6611" max="6611" width="8.7109375" style="2" customWidth="1"/>
    <col min="6612" max="6612" width="5.57421875" style="2" customWidth="1"/>
    <col min="6613" max="6614" width="8.7109375" style="2" customWidth="1"/>
    <col min="6615" max="6615" width="5.57421875" style="2" customWidth="1"/>
    <col min="6616" max="6617" width="8.7109375" style="2" customWidth="1"/>
    <col min="6618" max="6618" width="5.57421875" style="2" customWidth="1"/>
    <col min="6619" max="6620" width="8.7109375" style="2" customWidth="1"/>
    <col min="6621" max="6832" width="5.28125" style="2" customWidth="1"/>
    <col min="6833" max="6833" width="5.421875" style="2" customWidth="1"/>
    <col min="6834" max="6834" width="8.7109375" style="2" customWidth="1"/>
    <col min="6835" max="6835" width="5.57421875" style="2" customWidth="1"/>
    <col min="6836" max="6837" width="8.7109375" style="2" customWidth="1"/>
    <col min="6838" max="6838" width="5.57421875" style="2" customWidth="1"/>
    <col min="6839" max="6840" width="8.7109375" style="2" customWidth="1"/>
    <col min="6841" max="6841" width="5.57421875" style="2" customWidth="1"/>
    <col min="6842" max="6843" width="8.7109375" style="2" customWidth="1"/>
    <col min="6844" max="6844" width="5.421875" style="2" customWidth="1"/>
    <col min="6845" max="6845" width="8.7109375" style="2" customWidth="1"/>
    <col min="6846" max="6846" width="5.57421875" style="2" customWidth="1"/>
    <col min="6847" max="6848" width="8.7109375" style="2" customWidth="1"/>
    <col min="6849" max="6849" width="5.57421875" style="2" customWidth="1"/>
    <col min="6850" max="6851" width="8.7109375" style="2" customWidth="1"/>
    <col min="6852" max="6852" width="5.57421875" style="2" customWidth="1"/>
    <col min="6853" max="6854" width="8.7109375" style="2" customWidth="1"/>
    <col min="6855" max="6855" width="5.421875" style="2" customWidth="1"/>
    <col min="6856" max="6856" width="8.7109375" style="2" customWidth="1"/>
    <col min="6857" max="6857" width="5.57421875" style="2" customWidth="1"/>
    <col min="6858" max="6859" width="8.7109375" style="2" customWidth="1"/>
    <col min="6860" max="6860" width="5.57421875" style="2" customWidth="1"/>
    <col min="6861" max="6862" width="8.7109375" style="2" customWidth="1"/>
    <col min="6863" max="6863" width="5.57421875" style="2" customWidth="1"/>
    <col min="6864" max="6865" width="8.7109375" style="2" customWidth="1"/>
    <col min="6866" max="6866" width="5.421875" style="2" customWidth="1"/>
    <col min="6867" max="6867" width="8.7109375" style="2" customWidth="1"/>
    <col min="6868" max="6868" width="5.57421875" style="2" customWidth="1"/>
    <col min="6869" max="6870" width="8.7109375" style="2" customWidth="1"/>
    <col min="6871" max="6871" width="5.57421875" style="2" customWidth="1"/>
    <col min="6872" max="6873" width="8.7109375" style="2" customWidth="1"/>
    <col min="6874" max="6874" width="5.57421875" style="2" customWidth="1"/>
    <col min="6875" max="6876" width="8.7109375" style="2" customWidth="1"/>
    <col min="6877" max="7088" width="5.28125" style="2" customWidth="1"/>
    <col min="7089" max="7089" width="5.421875" style="2" customWidth="1"/>
    <col min="7090" max="7090" width="8.7109375" style="2" customWidth="1"/>
    <col min="7091" max="7091" width="5.57421875" style="2" customWidth="1"/>
    <col min="7092" max="7093" width="8.7109375" style="2" customWidth="1"/>
    <col min="7094" max="7094" width="5.57421875" style="2" customWidth="1"/>
    <col min="7095" max="7096" width="8.7109375" style="2" customWidth="1"/>
    <col min="7097" max="7097" width="5.57421875" style="2" customWidth="1"/>
    <col min="7098" max="7099" width="8.7109375" style="2" customWidth="1"/>
    <col min="7100" max="7100" width="5.421875" style="2" customWidth="1"/>
    <col min="7101" max="7101" width="8.7109375" style="2" customWidth="1"/>
    <col min="7102" max="7102" width="5.57421875" style="2" customWidth="1"/>
    <col min="7103" max="7104" width="8.7109375" style="2" customWidth="1"/>
    <col min="7105" max="7105" width="5.57421875" style="2" customWidth="1"/>
    <col min="7106" max="7107" width="8.7109375" style="2" customWidth="1"/>
    <col min="7108" max="7108" width="5.57421875" style="2" customWidth="1"/>
    <col min="7109" max="7110" width="8.7109375" style="2" customWidth="1"/>
    <col min="7111" max="7111" width="5.421875" style="2" customWidth="1"/>
    <col min="7112" max="7112" width="8.7109375" style="2" customWidth="1"/>
    <col min="7113" max="7113" width="5.57421875" style="2" customWidth="1"/>
    <col min="7114" max="7115" width="8.7109375" style="2" customWidth="1"/>
    <col min="7116" max="7116" width="5.57421875" style="2" customWidth="1"/>
    <col min="7117" max="7118" width="8.7109375" style="2" customWidth="1"/>
    <col min="7119" max="7119" width="5.57421875" style="2" customWidth="1"/>
    <col min="7120" max="7121" width="8.7109375" style="2" customWidth="1"/>
    <col min="7122" max="7122" width="5.421875" style="2" customWidth="1"/>
    <col min="7123" max="7123" width="8.7109375" style="2" customWidth="1"/>
    <col min="7124" max="7124" width="5.57421875" style="2" customWidth="1"/>
    <col min="7125" max="7126" width="8.7109375" style="2" customWidth="1"/>
    <col min="7127" max="7127" width="5.57421875" style="2" customWidth="1"/>
    <col min="7128" max="7129" width="8.7109375" style="2" customWidth="1"/>
    <col min="7130" max="7130" width="5.57421875" style="2" customWidth="1"/>
    <col min="7131" max="7132" width="8.7109375" style="2" customWidth="1"/>
    <col min="7133" max="7344" width="5.28125" style="2" customWidth="1"/>
    <col min="7345" max="7345" width="5.421875" style="2" customWidth="1"/>
    <col min="7346" max="7346" width="8.7109375" style="2" customWidth="1"/>
    <col min="7347" max="7347" width="5.57421875" style="2" customWidth="1"/>
    <col min="7348" max="7349" width="8.7109375" style="2" customWidth="1"/>
    <col min="7350" max="7350" width="5.57421875" style="2" customWidth="1"/>
    <col min="7351" max="7352" width="8.7109375" style="2" customWidth="1"/>
    <col min="7353" max="7353" width="5.57421875" style="2" customWidth="1"/>
    <col min="7354" max="7355" width="8.7109375" style="2" customWidth="1"/>
    <col min="7356" max="7356" width="5.421875" style="2" customWidth="1"/>
    <col min="7357" max="7357" width="8.7109375" style="2" customWidth="1"/>
    <col min="7358" max="7358" width="5.57421875" style="2" customWidth="1"/>
    <col min="7359" max="7360" width="8.7109375" style="2" customWidth="1"/>
    <col min="7361" max="7361" width="5.57421875" style="2" customWidth="1"/>
    <col min="7362" max="7363" width="8.7109375" style="2" customWidth="1"/>
    <col min="7364" max="7364" width="5.57421875" style="2" customWidth="1"/>
    <col min="7365" max="7366" width="8.7109375" style="2" customWidth="1"/>
    <col min="7367" max="7367" width="5.421875" style="2" customWidth="1"/>
    <col min="7368" max="7368" width="8.7109375" style="2" customWidth="1"/>
    <col min="7369" max="7369" width="5.57421875" style="2" customWidth="1"/>
    <col min="7370" max="7371" width="8.7109375" style="2" customWidth="1"/>
    <col min="7372" max="7372" width="5.57421875" style="2" customWidth="1"/>
    <col min="7373" max="7374" width="8.7109375" style="2" customWidth="1"/>
    <col min="7375" max="7375" width="5.57421875" style="2" customWidth="1"/>
    <col min="7376" max="7377" width="8.7109375" style="2" customWidth="1"/>
    <col min="7378" max="7378" width="5.421875" style="2" customWidth="1"/>
    <col min="7379" max="7379" width="8.7109375" style="2" customWidth="1"/>
    <col min="7380" max="7380" width="5.57421875" style="2" customWidth="1"/>
    <col min="7381" max="7382" width="8.7109375" style="2" customWidth="1"/>
    <col min="7383" max="7383" width="5.57421875" style="2" customWidth="1"/>
    <col min="7384" max="7385" width="8.7109375" style="2" customWidth="1"/>
    <col min="7386" max="7386" width="5.57421875" style="2" customWidth="1"/>
    <col min="7387" max="7388" width="8.7109375" style="2" customWidth="1"/>
    <col min="7389" max="7600" width="5.28125" style="2" customWidth="1"/>
    <col min="7601" max="7601" width="5.421875" style="2" customWidth="1"/>
    <col min="7602" max="7602" width="8.7109375" style="2" customWidth="1"/>
    <col min="7603" max="7603" width="5.57421875" style="2" customWidth="1"/>
    <col min="7604" max="7605" width="8.7109375" style="2" customWidth="1"/>
    <col min="7606" max="7606" width="5.57421875" style="2" customWidth="1"/>
    <col min="7607" max="7608" width="8.7109375" style="2" customWidth="1"/>
    <col min="7609" max="7609" width="5.57421875" style="2" customWidth="1"/>
    <col min="7610" max="7611" width="8.7109375" style="2" customWidth="1"/>
    <col min="7612" max="7612" width="5.421875" style="2" customWidth="1"/>
    <col min="7613" max="7613" width="8.7109375" style="2" customWidth="1"/>
    <col min="7614" max="7614" width="5.57421875" style="2" customWidth="1"/>
    <col min="7615" max="7616" width="8.7109375" style="2" customWidth="1"/>
    <col min="7617" max="7617" width="5.57421875" style="2" customWidth="1"/>
    <col min="7618" max="7619" width="8.7109375" style="2" customWidth="1"/>
    <col min="7620" max="7620" width="5.57421875" style="2" customWidth="1"/>
    <col min="7621" max="7622" width="8.7109375" style="2" customWidth="1"/>
    <col min="7623" max="7623" width="5.421875" style="2" customWidth="1"/>
    <col min="7624" max="7624" width="8.7109375" style="2" customWidth="1"/>
    <col min="7625" max="7625" width="5.57421875" style="2" customWidth="1"/>
    <col min="7626" max="7627" width="8.7109375" style="2" customWidth="1"/>
    <col min="7628" max="7628" width="5.57421875" style="2" customWidth="1"/>
    <col min="7629" max="7630" width="8.7109375" style="2" customWidth="1"/>
    <col min="7631" max="7631" width="5.57421875" style="2" customWidth="1"/>
    <col min="7632" max="7633" width="8.7109375" style="2" customWidth="1"/>
    <col min="7634" max="7634" width="5.421875" style="2" customWidth="1"/>
    <col min="7635" max="7635" width="8.7109375" style="2" customWidth="1"/>
    <col min="7636" max="7636" width="5.57421875" style="2" customWidth="1"/>
    <col min="7637" max="7638" width="8.7109375" style="2" customWidth="1"/>
    <col min="7639" max="7639" width="5.57421875" style="2" customWidth="1"/>
    <col min="7640" max="7641" width="8.7109375" style="2" customWidth="1"/>
    <col min="7642" max="7642" width="5.57421875" style="2" customWidth="1"/>
    <col min="7643" max="7644" width="8.7109375" style="2" customWidth="1"/>
    <col min="7645" max="7856" width="5.28125" style="2" customWidth="1"/>
    <col min="7857" max="7857" width="5.421875" style="2" customWidth="1"/>
    <col min="7858" max="7858" width="8.7109375" style="2" customWidth="1"/>
    <col min="7859" max="7859" width="5.57421875" style="2" customWidth="1"/>
    <col min="7860" max="7861" width="8.7109375" style="2" customWidth="1"/>
    <col min="7862" max="7862" width="5.57421875" style="2" customWidth="1"/>
    <col min="7863" max="7864" width="8.7109375" style="2" customWidth="1"/>
    <col min="7865" max="7865" width="5.57421875" style="2" customWidth="1"/>
    <col min="7866" max="7867" width="8.7109375" style="2" customWidth="1"/>
    <col min="7868" max="7868" width="5.421875" style="2" customWidth="1"/>
    <col min="7869" max="7869" width="8.7109375" style="2" customWidth="1"/>
    <col min="7870" max="7870" width="5.57421875" style="2" customWidth="1"/>
    <col min="7871" max="7872" width="8.7109375" style="2" customWidth="1"/>
    <col min="7873" max="7873" width="5.57421875" style="2" customWidth="1"/>
    <col min="7874" max="7875" width="8.7109375" style="2" customWidth="1"/>
    <col min="7876" max="7876" width="5.57421875" style="2" customWidth="1"/>
    <col min="7877" max="7878" width="8.7109375" style="2" customWidth="1"/>
    <col min="7879" max="7879" width="5.421875" style="2" customWidth="1"/>
    <col min="7880" max="7880" width="8.7109375" style="2" customWidth="1"/>
    <col min="7881" max="7881" width="5.57421875" style="2" customWidth="1"/>
    <col min="7882" max="7883" width="8.7109375" style="2" customWidth="1"/>
    <col min="7884" max="7884" width="5.57421875" style="2" customWidth="1"/>
    <col min="7885" max="7886" width="8.7109375" style="2" customWidth="1"/>
    <col min="7887" max="7887" width="5.57421875" style="2" customWidth="1"/>
    <col min="7888" max="7889" width="8.7109375" style="2" customWidth="1"/>
    <col min="7890" max="7890" width="5.421875" style="2" customWidth="1"/>
    <col min="7891" max="7891" width="8.7109375" style="2" customWidth="1"/>
    <col min="7892" max="7892" width="5.57421875" style="2" customWidth="1"/>
    <col min="7893" max="7894" width="8.7109375" style="2" customWidth="1"/>
    <col min="7895" max="7895" width="5.57421875" style="2" customWidth="1"/>
    <col min="7896" max="7897" width="8.7109375" style="2" customWidth="1"/>
    <col min="7898" max="7898" width="5.57421875" style="2" customWidth="1"/>
    <col min="7899" max="7900" width="8.7109375" style="2" customWidth="1"/>
    <col min="7901" max="8112" width="5.28125" style="2" customWidth="1"/>
    <col min="8113" max="8113" width="5.421875" style="2" customWidth="1"/>
    <col min="8114" max="8114" width="8.7109375" style="2" customWidth="1"/>
    <col min="8115" max="8115" width="5.57421875" style="2" customWidth="1"/>
    <col min="8116" max="8117" width="8.7109375" style="2" customWidth="1"/>
    <col min="8118" max="8118" width="5.57421875" style="2" customWidth="1"/>
    <col min="8119" max="8120" width="8.7109375" style="2" customWidth="1"/>
    <col min="8121" max="8121" width="5.57421875" style="2" customWidth="1"/>
    <col min="8122" max="8123" width="8.7109375" style="2" customWidth="1"/>
    <col min="8124" max="8124" width="5.421875" style="2" customWidth="1"/>
    <col min="8125" max="8125" width="8.7109375" style="2" customWidth="1"/>
    <col min="8126" max="8126" width="5.57421875" style="2" customWidth="1"/>
    <col min="8127" max="8128" width="8.7109375" style="2" customWidth="1"/>
    <col min="8129" max="8129" width="5.57421875" style="2" customWidth="1"/>
    <col min="8130" max="8131" width="8.7109375" style="2" customWidth="1"/>
    <col min="8132" max="8132" width="5.57421875" style="2" customWidth="1"/>
    <col min="8133" max="8134" width="8.7109375" style="2" customWidth="1"/>
    <col min="8135" max="8135" width="5.421875" style="2" customWidth="1"/>
    <col min="8136" max="8136" width="8.7109375" style="2" customWidth="1"/>
    <col min="8137" max="8137" width="5.57421875" style="2" customWidth="1"/>
    <col min="8138" max="8139" width="8.7109375" style="2" customWidth="1"/>
    <col min="8140" max="8140" width="5.57421875" style="2" customWidth="1"/>
    <col min="8141" max="8142" width="8.7109375" style="2" customWidth="1"/>
    <col min="8143" max="8143" width="5.57421875" style="2" customWidth="1"/>
    <col min="8144" max="8145" width="8.7109375" style="2" customWidth="1"/>
    <col min="8146" max="8146" width="5.421875" style="2" customWidth="1"/>
    <col min="8147" max="8147" width="8.7109375" style="2" customWidth="1"/>
    <col min="8148" max="8148" width="5.57421875" style="2" customWidth="1"/>
    <col min="8149" max="8150" width="8.7109375" style="2" customWidth="1"/>
    <col min="8151" max="8151" width="5.57421875" style="2" customWidth="1"/>
    <col min="8152" max="8153" width="8.7109375" style="2" customWidth="1"/>
    <col min="8154" max="8154" width="5.57421875" style="2" customWidth="1"/>
    <col min="8155" max="8156" width="8.7109375" style="2" customWidth="1"/>
    <col min="8157" max="8368" width="5.28125" style="2" customWidth="1"/>
    <col min="8369" max="8369" width="5.421875" style="2" customWidth="1"/>
    <col min="8370" max="8370" width="8.7109375" style="2" customWidth="1"/>
    <col min="8371" max="8371" width="5.57421875" style="2" customWidth="1"/>
    <col min="8372" max="8373" width="8.7109375" style="2" customWidth="1"/>
    <col min="8374" max="8374" width="5.57421875" style="2" customWidth="1"/>
    <col min="8375" max="8376" width="8.7109375" style="2" customWidth="1"/>
    <col min="8377" max="8377" width="5.57421875" style="2" customWidth="1"/>
    <col min="8378" max="8379" width="8.7109375" style="2" customWidth="1"/>
    <col min="8380" max="8380" width="5.421875" style="2" customWidth="1"/>
    <col min="8381" max="8381" width="8.7109375" style="2" customWidth="1"/>
    <col min="8382" max="8382" width="5.57421875" style="2" customWidth="1"/>
    <col min="8383" max="8384" width="8.7109375" style="2" customWidth="1"/>
    <col min="8385" max="8385" width="5.57421875" style="2" customWidth="1"/>
    <col min="8386" max="8387" width="8.7109375" style="2" customWidth="1"/>
    <col min="8388" max="8388" width="5.57421875" style="2" customWidth="1"/>
    <col min="8389" max="8390" width="8.7109375" style="2" customWidth="1"/>
    <col min="8391" max="8391" width="5.421875" style="2" customWidth="1"/>
    <col min="8392" max="8392" width="8.7109375" style="2" customWidth="1"/>
    <col min="8393" max="8393" width="5.57421875" style="2" customWidth="1"/>
    <col min="8394" max="8395" width="8.7109375" style="2" customWidth="1"/>
    <col min="8396" max="8396" width="5.57421875" style="2" customWidth="1"/>
    <col min="8397" max="8398" width="8.7109375" style="2" customWidth="1"/>
    <col min="8399" max="8399" width="5.57421875" style="2" customWidth="1"/>
    <col min="8400" max="8401" width="8.7109375" style="2" customWidth="1"/>
    <col min="8402" max="8402" width="5.421875" style="2" customWidth="1"/>
    <col min="8403" max="8403" width="8.7109375" style="2" customWidth="1"/>
    <col min="8404" max="8404" width="5.57421875" style="2" customWidth="1"/>
    <col min="8405" max="8406" width="8.7109375" style="2" customWidth="1"/>
    <col min="8407" max="8407" width="5.57421875" style="2" customWidth="1"/>
    <col min="8408" max="8409" width="8.7109375" style="2" customWidth="1"/>
    <col min="8410" max="8410" width="5.57421875" style="2" customWidth="1"/>
    <col min="8411" max="8412" width="8.7109375" style="2" customWidth="1"/>
    <col min="8413" max="8624" width="5.28125" style="2" customWidth="1"/>
    <col min="8625" max="8625" width="5.421875" style="2" customWidth="1"/>
    <col min="8626" max="8626" width="8.7109375" style="2" customWidth="1"/>
    <col min="8627" max="8627" width="5.57421875" style="2" customWidth="1"/>
    <col min="8628" max="8629" width="8.7109375" style="2" customWidth="1"/>
    <col min="8630" max="8630" width="5.57421875" style="2" customWidth="1"/>
    <col min="8631" max="8632" width="8.7109375" style="2" customWidth="1"/>
    <col min="8633" max="8633" width="5.57421875" style="2" customWidth="1"/>
    <col min="8634" max="8635" width="8.7109375" style="2" customWidth="1"/>
    <col min="8636" max="8636" width="5.421875" style="2" customWidth="1"/>
    <col min="8637" max="8637" width="8.7109375" style="2" customWidth="1"/>
    <col min="8638" max="8638" width="5.57421875" style="2" customWidth="1"/>
    <col min="8639" max="8640" width="8.7109375" style="2" customWidth="1"/>
    <col min="8641" max="8641" width="5.57421875" style="2" customWidth="1"/>
    <col min="8642" max="8643" width="8.7109375" style="2" customWidth="1"/>
    <col min="8644" max="8644" width="5.57421875" style="2" customWidth="1"/>
    <col min="8645" max="8646" width="8.7109375" style="2" customWidth="1"/>
    <col min="8647" max="8647" width="5.421875" style="2" customWidth="1"/>
    <col min="8648" max="8648" width="8.7109375" style="2" customWidth="1"/>
    <col min="8649" max="8649" width="5.57421875" style="2" customWidth="1"/>
    <col min="8650" max="8651" width="8.7109375" style="2" customWidth="1"/>
    <col min="8652" max="8652" width="5.57421875" style="2" customWidth="1"/>
    <col min="8653" max="8654" width="8.7109375" style="2" customWidth="1"/>
    <col min="8655" max="8655" width="5.57421875" style="2" customWidth="1"/>
    <col min="8656" max="8657" width="8.7109375" style="2" customWidth="1"/>
    <col min="8658" max="8658" width="5.421875" style="2" customWidth="1"/>
    <col min="8659" max="8659" width="8.7109375" style="2" customWidth="1"/>
    <col min="8660" max="8660" width="5.57421875" style="2" customWidth="1"/>
    <col min="8661" max="8662" width="8.7109375" style="2" customWidth="1"/>
    <col min="8663" max="8663" width="5.57421875" style="2" customWidth="1"/>
    <col min="8664" max="8665" width="8.7109375" style="2" customWidth="1"/>
    <col min="8666" max="8666" width="5.57421875" style="2" customWidth="1"/>
    <col min="8667" max="8668" width="8.7109375" style="2" customWidth="1"/>
    <col min="8669" max="8880" width="5.28125" style="2" customWidth="1"/>
    <col min="8881" max="8881" width="5.421875" style="2" customWidth="1"/>
    <col min="8882" max="8882" width="8.7109375" style="2" customWidth="1"/>
    <col min="8883" max="8883" width="5.57421875" style="2" customWidth="1"/>
    <col min="8884" max="8885" width="8.7109375" style="2" customWidth="1"/>
    <col min="8886" max="8886" width="5.57421875" style="2" customWidth="1"/>
    <col min="8887" max="8888" width="8.7109375" style="2" customWidth="1"/>
    <col min="8889" max="8889" width="5.57421875" style="2" customWidth="1"/>
    <col min="8890" max="8891" width="8.7109375" style="2" customWidth="1"/>
    <col min="8892" max="8892" width="5.421875" style="2" customWidth="1"/>
    <col min="8893" max="8893" width="8.7109375" style="2" customWidth="1"/>
    <col min="8894" max="8894" width="5.57421875" style="2" customWidth="1"/>
    <col min="8895" max="8896" width="8.7109375" style="2" customWidth="1"/>
    <col min="8897" max="8897" width="5.57421875" style="2" customWidth="1"/>
    <col min="8898" max="8899" width="8.7109375" style="2" customWidth="1"/>
    <col min="8900" max="8900" width="5.57421875" style="2" customWidth="1"/>
    <col min="8901" max="8902" width="8.7109375" style="2" customWidth="1"/>
    <col min="8903" max="8903" width="5.421875" style="2" customWidth="1"/>
    <col min="8904" max="8904" width="8.7109375" style="2" customWidth="1"/>
    <col min="8905" max="8905" width="5.57421875" style="2" customWidth="1"/>
    <col min="8906" max="8907" width="8.7109375" style="2" customWidth="1"/>
    <col min="8908" max="8908" width="5.57421875" style="2" customWidth="1"/>
    <col min="8909" max="8910" width="8.7109375" style="2" customWidth="1"/>
    <col min="8911" max="8911" width="5.57421875" style="2" customWidth="1"/>
    <col min="8912" max="8913" width="8.7109375" style="2" customWidth="1"/>
    <col min="8914" max="8914" width="5.421875" style="2" customWidth="1"/>
    <col min="8915" max="8915" width="8.7109375" style="2" customWidth="1"/>
    <col min="8916" max="8916" width="5.57421875" style="2" customWidth="1"/>
    <col min="8917" max="8918" width="8.7109375" style="2" customWidth="1"/>
    <col min="8919" max="8919" width="5.57421875" style="2" customWidth="1"/>
    <col min="8920" max="8921" width="8.7109375" style="2" customWidth="1"/>
    <col min="8922" max="8922" width="5.57421875" style="2" customWidth="1"/>
    <col min="8923" max="8924" width="8.7109375" style="2" customWidth="1"/>
    <col min="8925" max="9136" width="5.28125" style="2" customWidth="1"/>
    <col min="9137" max="9137" width="5.421875" style="2" customWidth="1"/>
    <col min="9138" max="9138" width="8.7109375" style="2" customWidth="1"/>
    <col min="9139" max="9139" width="5.57421875" style="2" customWidth="1"/>
    <col min="9140" max="9141" width="8.7109375" style="2" customWidth="1"/>
    <col min="9142" max="9142" width="5.57421875" style="2" customWidth="1"/>
    <col min="9143" max="9144" width="8.7109375" style="2" customWidth="1"/>
    <col min="9145" max="9145" width="5.57421875" style="2" customWidth="1"/>
    <col min="9146" max="9147" width="8.7109375" style="2" customWidth="1"/>
    <col min="9148" max="9148" width="5.421875" style="2" customWidth="1"/>
    <col min="9149" max="9149" width="8.7109375" style="2" customWidth="1"/>
    <col min="9150" max="9150" width="5.57421875" style="2" customWidth="1"/>
    <col min="9151" max="9152" width="8.7109375" style="2" customWidth="1"/>
    <col min="9153" max="9153" width="5.57421875" style="2" customWidth="1"/>
    <col min="9154" max="9155" width="8.7109375" style="2" customWidth="1"/>
    <col min="9156" max="9156" width="5.57421875" style="2" customWidth="1"/>
    <col min="9157" max="9158" width="8.7109375" style="2" customWidth="1"/>
    <col min="9159" max="9159" width="5.421875" style="2" customWidth="1"/>
    <col min="9160" max="9160" width="8.7109375" style="2" customWidth="1"/>
    <col min="9161" max="9161" width="5.57421875" style="2" customWidth="1"/>
    <col min="9162" max="9163" width="8.7109375" style="2" customWidth="1"/>
    <col min="9164" max="9164" width="5.57421875" style="2" customWidth="1"/>
    <col min="9165" max="9166" width="8.7109375" style="2" customWidth="1"/>
    <col min="9167" max="9167" width="5.57421875" style="2" customWidth="1"/>
    <col min="9168" max="9169" width="8.7109375" style="2" customWidth="1"/>
    <col min="9170" max="9170" width="5.421875" style="2" customWidth="1"/>
    <col min="9171" max="9171" width="8.7109375" style="2" customWidth="1"/>
    <col min="9172" max="9172" width="5.57421875" style="2" customWidth="1"/>
    <col min="9173" max="9174" width="8.7109375" style="2" customWidth="1"/>
    <col min="9175" max="9175" width="5.57421875" style="2" customWidth="1"/>
    <col min="9176" max="9177" width="8.7109375" style="2" customWidth="1"/>
    <col min="9178" max="9178" width="5.57421875" style="2" customWidth="1"/>
    <col min="9179" max="9180" width="8.7109375" style="2" customWidth="1"/>
    <col min="9181" max="9392" width="5.28125" style="2" customWidth="1"/>
    <col min="9393" max="9393" width="5.421875" style="2" customWidth="1"/>
    <col min="9394" max="9394" width="8.7109375" style="2" customWidth="1"/>
    <col min="9395" max="9395" width="5.57421875" style="2" customWidth="1"/>
    <col min="9396" max="9397" width="8.7109375" style="2" customWidth="1"/>
    <col min="9398" max="9398" width="5.57421875" style="2" customWidth="1"/>
    <col min="9399" max="9400" width="8.7109375" style="2" customWidth="1"/>
    <col min="9401" max="9401" width="5.57421875" style="2" customWidth="1"/>
    <col min="9402" max="9403" width="8.7109375" style="2" customWidth="1"/>
    <col min="9404" max="9404" width="5.421875" style="2" customWidth="1"/>
    <col min="9405" max="9405" width="8.7109375" style="2" customWidth="1"/>
    <col min="9406" max="9406" width="5.57421875" style="2" customWidth="1"/>
    <col min="9407" max="9408" width="8.7109375" style="2" customWidth="1"/>
    <col min="9409" max="9409" width="5.57421875" style="2" customWidth="1"/>
    <col min="9410" max="9411" width="8.7109375" style="2" customWidth="1"/>
    <col min="9412" max="9412" width="5.57421875" style="2" customWidth="1"/>
    <col min="9413" max="9414" width="8.7109375" style="2" customWidth="1"/>
    <col min="9415" max="9415" width="5.421875" style="2" customWidth="1"/>
    <col min="9416" max="9416" width="8.7109375" style="2" customWidth="1"/>
    <col min="9417" max="9417" width="5.57421875" style="2" customWidth="1"/>
    <col min="9418" max="9419" width="8.7109375" style="2" customWidth="1"/>
    <col min="9420" max="9420" width="5.57421875" style="2" customWidth="1"/>
    <col min="9421" max="9422" width="8.7109375" style="2" customWidth="1"/>
    <col min="9423" max="9423" width="5.57421875" style="2" customWidth="1"/>
    <col min="9424" max="9425" width="8.7109375" style="2" customWidth="1"/>
    <col min="9426" max="9426" width="5.421875" style="2" customWidth="1"/>
    <col min="9427" max="9427" width="8.7109375" style="2" customWidth="1"/>
    <col min="9428" max="9428" width="5.57421875" style="2" customWidth="1"/>
    <col min="9429" max="9430" width="8.7109375" style="2" customWidth="1"/>
    <col min="9431" max="9431" width="5.57421875" style="2" customWidth="1"/>
    <col min="9432" max="9433" width="8.7109375" style="2" customWidth="1"/>
    <col min="9434" max="9434" width="5.57421875" style="2" customWidth="1"/>
    <col min="9435" max="9436" width="8.7109375" style="2" customWidth="1"/>
    <col min="9437" max="9648" width="5.28125" style="2" customWidth="1"/>
    <col min="9649" max="9649" width="5.421875" style="2" customWidth="1"/>
    <col min="9650" max="9650" width="8.7109375" style="2" customWidth="1"/>
    <col min="9651" max="9651" width="5.57421875" style="2" customWidth="1"/>
    <col min="9652" max="9653" width="8.7109375" style="2" customWidth="1"/>
    <col min="9654" max="9654" width="5.57421875" style="2" customWidth="1"/>
    <col min="9655" max="9656" width="8.7109375" style="2" customWidth="1"/>
    <col min="9657" max="9657" width="5.57421875" style="2" customWidth="1"/>
    <col min="9658" max="9659" width="8.7109375" style="2" customWidth="1"/>
    <col min="9660" max="9660" width="5.421875" style="2" customWidth="1"/>
    <col min="9661" max="9661" width="8.7109375" style="2" customWidth="1"/>
    <col min="9662" max="9662" width="5.57421875" style="2" customWidth="1"/>
    <col min="9663" max="9664" width="8.7109375" style="2" customWidth="1"/>
    <col min="9665" max="9665" width="5.57421875" style="2" customWidth="1"/>
    <col min="9666" max="9667" width="8.7109375" style="2" customWidth="1"/>
    <col min="9668" max="9668" width="5.57421875" style="2" customWidth="1"/>
    <col min="9669" max="9670" width="8.7109375" style="2" customWidth="1"/>
    <col min="9671" max="9671" width="5.421875" style="2" customWidth="1"/>
    <col min="9672" max="9672" width="8.7109375" style="2" customWidth="1"/>
    <col min="9673" max="9673" width="5.57421875" style="2" customWidth="1"/>
    <col min="9674" max="9675" width="8.7109375" style="2" customWidth="1"/>
    <col min="9676" max="9676" width="5.57421875" style="2" customWidth="1"/>
    <col min="9677" max="9678" width="8.7109375" style="2" customWidth="1"/>
    <col min="9679" max="9679" width="5.57421875" style="2" customWidth="1"/>
    <col min="9680" max="9681" width="8.7109375" style="2" customWidth="1"/>
    <col min="9682" max="9682" width="5.421875" style="2" customWidth="1"/>
    <col min="9683" max="9683" width="8.7109375" style="2" customWidth="1"/>
    <col min="9684" max="9684" width="5.57421875" style="2" customWidth="1"/>
    <col min="9685" max="9686" width="8.7109375" style="2" customWidth="1"/>
    <col min="9687" max="9687" width="5.57421875" style="2" customWidth="1"/>
    <col min="9688" max="9689" width="8.7109375" style="2" customWidth="1"/>
    <col min="9690" max="9690" width="5.57421875" style="2" customWidth="1"/>
    <col min="9691" max="9692" width="8.7109375" style="2" customWidth="1"/>
    <col min="9693" max="9904" width="5.28125" style="2" customWidth="1"/>
    <col min="9905" max="9905" width="5.421875" style="2" customWidth="1"/>
    <col min="9906" max="9906" width="8.7109375" style="2" customWidth="1"/>
    <col min="9907" max="9907" width="5.57421875" style="2" customWidth="1"/>
    <col min="9908" max="9909" width="8.7109375" style="2" customWidth="1"/>
    <col min="9910" max="9910" width="5.57421875" style="2" customWidth="1"/>
    <col min="9911" max="9912" width="8.7109375" style="2" customWidth="1"/>
    <col min="9913" max="9913" width="5.57421875" style="2" customWidth="1"/>
    <col min="9914" max="9915" width="8.7109375" style="2" customWidth="1"/>
    <col min="9916" max="9916" width="5.421875" style="2" customWidth="1"/>
    <col min="9917" max="9917" width="8.7109375" style="2" customWidth="1"/>
    <col min="9918" max="9918" width="5.57421875" style="2" customWidth="1"/>
    <col min="9919" max="9920" width="8.7109375" style="2" customWidth="1"/>
    <col min="9921" max="9921" width="5.57421875" style="2" customWidth="1"/>
    <col min="9922" max="9923" width="8.7109375" style="2" customWidth="1"/>
    <col min="9924" max="9924" width="5.57421875" style="2" customWidth="1"/>
    <col min="9925" max="9926" width="8.7109375" style="2" customWidth="1"/>
    <col min="9927" max="9927" width="5.421875" style="2" customWidth="1"/>
    <col min="9928" max="9928" width="8.7109375" style="2" customWidth="1"/>
    <col min="9929" max="9929" width="5.57421875" style="2" customWidth="1"/>
    <col min="9930" max="9931" width="8.7109375" style="2" customWidth="1"/>
    <col min="9932" max="9932" width="5.57421875" style="2" customWidth="1"/>
    <col min="9933" max="9934" width="8.7109375" style="2" customWidth="1"/>
    <col min="9935" max="9935" width="5.57421875" style="2" customWidth="1"/>
    <col min="9936" max="9937" width="8.7109375" style="2" customWidth="1"/>
    <col min="9938" max="9938" width="5.421875" style="2" customWidth="1"/>
    <col min="9939" max="9939" width="8.7109375" style="2" customWidth="1"/>
    <col min="9940" max="9940" width="5.57421875" style="2" customWidth="1"/>
    <col min="9941" max="9942" width="8.7109375" style="2" customWidth="1"/>
    <col min="9943" max="9943" width="5.57421875" style="2" customWidth="1"/>
    <col min="9944" max="9945" width="8.7109375" style="2" customWidth="1"/>
    <col min="9946" max="9946" width="5.57421875" style="2" customWidth="1"/>
    <col min="9947" max="9948" width="8.7109375" style="2" customWidth="1"/>
    <col min="9949" max="10160" width="5.28125" style="2" customWidth="1"/>
    <col min="10161" max="10161" width="5.421875" style="2" customWidth="1"/>
    <col min="10162" max="10162" width="8.7109375" style="2" customWidth="1"/>
    <col min="10163" max="10163" width="5.57421875" style="2" customWidth="1"/>
    <col min="10164" max="10165" width="8.7109375" style="2" customWidth="1"/>
    <col min="10166" max="10166" width="5.57421875" style="2" customWidth="1"/>
    <col min="10167" max="10168" width="8.7109375" style="2" customWidth="1"/>
    <col min="10169" max="10169" width="5.57421875" style="2" customWidth="1"/>
    <col min="10170" max="10171" width="8.7109375" style="2" customWidth="1"/>
    <col min="10172" max="10172" width="5.421875" style="2" customWidth="1"/>
    <col min="10173" max="10173" width="8.7109375" style="2" customWidth="1"/>
    <col min="10174" max="10174" width="5.57421875" style="2" customWidth="1"/>
    <col min="10175" max="10176" width="8.7109375" style="2" customWidth="1"/>
    <col min="10177" max="10177" width="5.57421875" style="2" customWidth="1"/>
    <col min="10178" max="10179" width="8.7109375" style="2" customWidth="1"/>
    <col min="10180" max="10180" width="5.57421875" style="2" customWidth="1"/>
    <col min="10181" max="10182" width="8.7109375" style="2" customWidth="1"/>
    <col min="10183" max="10183" width="5.421875" style="2" customWidth="1"/>
    <col min="10184" max="10184" width="8.7109375" style="2" customWidth="1"/>
    <col min="10185" max="10185" width="5.57421875" style="2" customWidth="1"/>
    <col min="10186" max="10187" width="8.7109375" style="2" customWidth="1"/>
    <col min="10188" max="10188" width="5.57421875" style="2" customWidth="1"/>
    <col min="10189" max="10190" width="8.7109375" style="2" customWidth="1"/>
    <col min="10191" max="10191" width="5.57421875" style="2" customWidth="1"/>
    <col min="10192" max="10193" width="8.7109375" style="2" customWidth="1"/>
    <col min="10194" max="10194" width="5.421875" style="2" customWidth="1"/>
    <col min="10195" max="10195" width="8.7109375" style="2" customWidth="1"/>
    <col min="10196" max="10196" width="5.57421875" style="2" customWidth="1"/>
    <col min="10197" max="10198" width="8.7109375" style="2" customWidth="1"/>
    <col min="10199" max="10199" width="5.57421875" style="2" customWidth="1"/>
    <col min="10200" max="10201" width="8.7109375" style="2" customWidth="1"/>
    <col min="10202" max="10202" width="5.57421875" style="2" customWidth="1"/>
    <col min="10203" max="10204" width="8.7109375" style="2" customWidth="1"/>
    <col min="10205" max="10416" width="5.28125" style="2" customWidth="1"/>
    <col min="10417" max="10417" width="5.421875" style="2" customWidth="1"/>
    <col min="10418" max="10418" width="8.7109375" style="2" customWidth="1"/>
    <col min="10419" max="10419" width="5.57421875" style="2" customWidth="1"/>
    <col min="10420" max="10421" width="8.7109375" style="2" customWidth="1"/>
    <col min="10422" max="10422" width="5.57421875" style="2" customWidth="1"/>
    <col min="10423" max="10424" width="8.7109375" style="2" customWidth="1"/>
    <col min="10425" max="10425" width="5.57421875" style="2" customWidth="1"/>
    <col min="10426" max="10427" width="8.7109375" style="2" customWidth="1"/>
    <col min="10428" max="10428" width="5.421875" style="2" customWidth="1"/>
    <col min="10429" max="10429" width="8.7109375" style="2" customWidth="1"/>
    <col min="10430" max="10430" width="5.57421875" style="2" customWidth="1"/>
    <col min="10431" max="10432" width="8.7109375" style="2" customWidth="1"/>
    <col min="10433" max="10433" width="5.57421875" style="2" customWidth="1"/>
    <col min="10434" max="10435" width="8.7109375" style="2" customWidth="1"/>
    <col min="10436" max="10436" width="5.57421875" style="2" customWidth="1"/>
    <col min="10437" max="10438" width="8.7109375" style="2" customWidth="1"/>
    <col min="10439" max="10439" width="5.421875" style="2" customWidth="1"/>
    <col min="10440" max="10440" width="8.7109375" style="2" customWidth="1"/>
    <col min="10441" max="10441" width="5.57421875" style="2" customWidth="1"/>
    <col min="10442" max="10443" width="8.7109375" style="2" customWidth="1"/>
    <col min="10444" max="10444" width="5.57421875" style="2" customWidth="1"/>
    <col min="10445" max="10446" width="8.7109375" style="2" customWidth="1"/>
    <col min="10447" max="10447" width="5.57421875" style="2" customWidth="1"/>
    <col min="10448" max="10449" width="8.7109375" style="2" customWidth="1"/>
    <col min="10450" max="10450" width="5.421875" style="2" customWidth="1"/>
    <col min="10451" max="10451" width="8.7109375" style="2" customWidth="1"/>
    <col min="10452" max="10452" width="5.57421875" style="2" customWidth="1"/>
    <col min="10453" max="10454" width="8.7109375" style="2" customWidth="1"/>
    <col min="10455" max="10455" width="5.57421875" style="2" customWidth="1"/>
    <col min="10456" max="10457" width="8.7109375" style="2" customWidth="1"/>
    <col min="10458" max="10458" width="5.57421875" style="2" customWidth="1"/>
    <col min="10459" max="10460" width="8.7109375" style="2" customWidth="1"/>
    <col min="10461" max="10672" width="5.28125" style="2" customWidth="1"/>
    <col min="10673" max="10673" width="5.421875" style="2" customWidth="1"/>
    <col min="10674" max="10674" width="8.7109375" style="2" customWidth="1"/>
    <col min="10675" max="10675" width="5.57421875" style="2" customWidth="1"/>
    <col min="10676" max="10677" width="8.7109375" style="2" customWidth="1"/>
    <col min="10678" max="10678" width="5.57421875" style="2" customWidth="1"/>
    <col min="10679" max="10680" width="8.7109375" style="2" customWidth="1"/>
    <col min="10681" max="10681" width="5.57421875" style="2" customWidth="1"/>
    <col min="10682" max="10683" width="8.7109375" style="2" customWidth="1"/>
    <col min="10684" max="10684" width="5.421875" style="2" customWidth="1"/>
    <col min="10685" max="10685" width="8.7109375" style="2" customWidth="1"/>
    <col min="10686" max="10686" width="5.57421875" style="2" customWidth="1"/>
    <col min="10687" max="10688" width="8.7109375" style="2" customWidth="1"/>
    <col min="10689" max="10689" width="5.57421875" style="2" customWidth="1"/>
    <col min="10690" max="10691" width="8.7109375" style="2" customWidth="1"/>
    <col min="10692" max="10692" width="5.57421875" style="2" customWidth="1"/>
    <col min="10693" max="10694" width="8.7109375" style="2" customWidth="1"/>
    <col min="10695" max="10695" width="5.421875" style="2" customWidth="1"/>
    <col min="10696" max="10696" width="8.7109375" style="2" customWidth="1"/>
    <col min="10697" max="10697" width="5.57421875" style="2" customWidth="1"/>
    <col min="10698" max="10699" width="8.7109375" style="2" customWidth="1"/>
    <col min="10700" max="10700" width="5.57421875" style="2" customWidth="1"/>
    <col min="10701" max="10702" width="8.7109375" style="2" customWidth="1"/>
    <col min="10703" max="10703" width="5.57421875" style="2" customWidth="1"/>
    <col min="10704" max="10705" width="8.7109375" style="2" customWidth="1"/>
    <col min="10706" max="10706" width="5.421875" style="2" customWidth="1"/>
    <col min="10707" max="10707" width="8.7109375" style="2" customWidth="1"/>
    <col min="10708" max="10708" width="5.57421875" style="2" customWidth="1"/>
    <col min="10709" max="10710" width="8.7109375" style="2" customWidth="1"/>
    <col min="10711" max="10711" width="5.57421875" style="2" customWidth="1"/>
    <col min="10712" max="10713" width="8.7109375" style="2" customWidth="1"/>
    <col min="10714" max="10714" width="5.57421875" style="2" customWidth="1"/>
    <col min="10715" max="10716" width="8.7109375" style="2" customWidth="1"/>
    <col min="10717" max="10928" width="5.28125" style="2" customWidth="1"/>
    <col min="10929" max="10929" width="5.421875" style="2" customWidth="1"/>
    <col min="10930" max="10930" width="8.7109375" style="2" customWidth="1"/>
    <col min="10931" max="10931" width="5.57421875" style="2" customWidth="1"/>
    <col min="10932" max="10933" width="8.7109375" style="2" customWidth="1"/>
    <col min="10934" max="10934" width="5.57421875" style="2" customWidth="1"/>
    <col min="10935" max="10936" width="8.7109375" style="2" customWidth="1"/>
    <col min="10937" max="10937" width="5.57421875" style="2" customWidth="1"/>
    <col min="10938" max="10939" width="8.7109375" style="2" customWidth="1"/>
    <col min="10940" max="10940" width="5.421875" style="2" customWidth="1"/>
    <col min="10941" max="10941" width="8.7109375" style="2" customWidth="1"/>
    <col min="10942" max="10942" width="5.57421875" style="2" customWidth="1"/>
    <col min="10943" max="10944" width="8.7109375" style="2" customWidth="1"/>
    <col min="10945" max="10945" width="5.57421875" style="2" customWidth="1"/>
    <col min="10946" max="10947" width="8.7109375" style="2" customWidth="1"/>
    <col min="10948" max="10948" width="5.57421875" style="2" customWidth="1"/>
    <col min="10949" max="10950" width="8.7109375" style="2" customWidth="1"/>
    <col min="10951" max="10951" width="5.421875" style="2" customWidth="1"/>
    <col min="10952" max="10952" width="8.7109375" style="2" customWidth="1"/>
    <col min="10953" max="10953" width="5.57421875" style="2" customWidth="1"/>
    <col min="10954" max="10955" width="8.7109375" style="2" customWidth="1"/>
    <col min="10956" max="10956" width="5.57421875" style="2" customWidth="1"/>
    <col min="10957" max="10958" width="8.7109375" style="2" customWidth="1"/>
    <col min="10959" max="10959" width="5.57421875" style="2" customWidth="1"/>
    <col min="10960" max="10961" width="8.7109375" style="2" customWidth="1"/>
    <col min="10962" max="10962" width="5.421875" style="2" customWidth="1"/>
    <col min="10963" max="10963" width="8.7109375" style="2" customWidth="1"/>
    <col min="10964" max="10964" width="5.57421875" style="2" customWidth="1"/>
    <col min="10965" max="10966" width="8.7109375" style="2" customWidth="1"/>
    <col min="10967" max="10967" width="5.57421875" style="2" customWidth="1"/>
    <col min="10968" max="10969" width="8.7109375" style="2" customWidth="1"/>
    <col min="10970" max="10970" width="5.57421875" style="2" customWidth="1"/>
    <col min="10971" max="10972" width="8.7109375" style="2" customWidth="1"/>
    <col min="10973" max="11184" width="5.28125" style="2" customWidth="1"/>
    <col min="11185" max="11185" width="5.421875" style="2" customWidth="1"/>
    <col min="11186" max="11186" width="8.7109375" style="2" customWidth="1"/>
    <col min="11187" max="11187" width="5.57421875" style="2" customWidth="1"/>
    <col min="11188" max="11189" width="8.7109375" style="2" customWidth="1"/>
    <col min="11190" max="11190" width="5.57421875" style="2" customWidth="1"/>
    <col min="11191" max="11192" width="8.7109375" style="2" customWidth="1"/>
    <col min="11193" max="11193" width="5.57421875" style="2" customWidth="1"/>
    <col min="11194" max="11195" width="8.7109375" style="2" customWidth="1"/>
    <col min="11196" max="11196" width="5.421875" style="2" customWidth="1"/>
    <col min="11197" max="11197" width="8.7109375" style="2" customWidth="1"/>
    <col min="11198" max="11198" width="5.57421875" style="2" customWidth="1"/>
    <col min="11199" max="11200" width="8.7109375" style="2" customWidth="1"/>
    <col min="11201" max="11201" width="5.57421875" style="2" customWidth="1"/>
    <col min="11202" max="11203" width="8.7109375" style="2" customWidth="1"/>
    <col min="11204" max="11204" width="5.57421875" style="2" customWidth="1"/>
    <col min="11205" max="11206" width="8.7109375" style="2" customWidth="1"/>
    <col min="11207" max="11207" width="5.421875" style="2" customWidth="1"/>
    <col min="11208" max="11208" width="8.7109375" style="2" customWidth="1"/>
    <col min="11209" max="11209" width="5.57421875" style="2" customWidth="1"/>
    <col min="11210" max="11211" width="8.7109375" style="2" customWidth="1"/>
    <col min="11212" max="11212" width="5.57421875" style="2" customWidth="1"/>
    <col min="11213" max="11214" width="8.7109375" style="2" customWidth="1"/>
    <col min="11215" max="11215" width="5.57421875" style="2" customWidth="1"/>
    <col min="11216" max="11217" width="8.7109375" style="2" customWidth="1"/>
    <col min="11218" max="11218" width="5.421875" style="2" customWidth="1"/>
    <col min="11219" max="11219" width="8.7109375" style="2" customWidth="1"/>
    <col min="11220" max="11220" width="5.57421875" style="2" customWidth="1"/>
    <col min="11221" max="11222" width="8.7109375" style="2" customWidth="1"/>
    <col min="11223" max="11223" width="5.57421875" style="2" customWidth="1"/>
    <col min="11224" max="11225" width="8.7109375" style="2" customWidth="1"/>
    <col min="11226" max="11226" width="5.57421875" style="2" customWidth="1"/>
    <col min="11227" max="11228" width="8.7109375" style="2" customWidth="1"/>
    <col min="11229" max="11440" width="5.28125" style="2" customWidth="1"/>
    <col min="11441" max="11441" width="5.421875" style="2" customWidth="1"/>
    <col min="11442" max="11442" width="8.7109375" style="2" customWidth="1"/>
    <col min="11443" max="11443" width="5.57421875" style="2" customWidth="1"/>
    <col min="11444" max="11445" width="8.7109375" style="2" customWidth="1"/>
    <col min="11446" max="11446" width="5.57421875" style="2" customWidth="1"/>
    <col min="11447" max="11448" width="8.7109375" style="2" customWidth="1"/>
    <col min="11449" max="11449" width="5.57421875" style="2" customWidth="1"/>
    <col min="11450" max="11451" width="8.7109375" style="2" customWidth="1"/>
    <col min="11452" max="11452" width="5.421875" style="2" customWidth="1"/>
    <col min="11453" max="11453" width="8.7109375" style="2" customWidth="1"/>
    <col min="11454" max="11454" width="5.57421875" style="2" customWidth="1"/>
    <col min="11455" max="11456" width="8.7109375" style="2" customWidth="1"/>
    <col min="11457" max="11457" width="5.57421875" style="2" customWidth="1"/>
    <col min="11458" max="11459" width="8.7109375" style="2" customWidth="1"/>
    <col min="11460" max="11460" width="5.57421875" style="2" customWidth="1"/>
    <col min="11461" max="11462" width="8.7109375" style="2" customWidth="1"/>
    <col min="11463" max="11463" width="5.421875" style="2" customWidth="1"/>
    <col min="11464" max="11464" width="8.7109375" style="2" customWidth="1"/>
    <col min="11465" max="11465" width="5.57421875" style="2" customWidth="1"/>
    <col min="11466" max="11467" width="8.7109375" style="2" customWidth="1"/>
    <col min="11468" max="11468" width="5.57421875" style="2" customWidth="1"/>
    <col min="11469" max="11470" width="8.7109375" style="2" customWidth="1"/>
    <col min="11471" max="11471" width="5.57421875" style="2" customWidth="1"/>
    <col min="11472" max="11473" width="8.7109375" style="2" customWidth="1"/>
    <col min="11474" max="11474" width="5.421875" style="2" customWidth="1"/>
    <col min="11475" max="11475" width="8.7109375" style="2" customWidth="1"/>
    <col min="11476" max="11476" width="5.57421875" style="2" customWidth="1"/>
    <col min="11477" max="11478" width="8.7109375" style="2" customWidth="1"/>
    <col min="11479" max="11479" width="5.57421875" style="2" customWidth="1"/>
    <col min="11480" max="11481" width="8.7109375" style="2" customWidth="1"/>
    <col min="11482" max="11482" width="5.57421875" style="2" customWidth="1"/>
    <col min="11483" max="11484" width="8.7109375" style="2" customWidth="1"/>
    <col min="11485" max="11696" width="5.28125" style="2" customWidth="1"/>
    <col min="11697" max="11697" width="5.421875" style="2" customWidth="1"/>
    <col min="11698" max="11698" width="8.7109375" style="2" customWidth="1"/>
    <col min="11699" max="11699" width="5.57421875" style="2" customWidth="1"/>
    <col min="11700" max="11701" width="8.7109375" style="2" customWidth="1"/>
    <col min="11702" max="11702" width="5.57421875" style="2" customWidth="1"/>
    <col min="11703" max="11704" width="8.7109375" style="2" customWidth="1"/>
    <col min="11705" max="11705" width="5.57421875" style="2" customWidth="1"/>
    <col min="11706" max="11707" width="8.7109375" style="2" customWidth="1"/>
    <col min="11708" max="11708" width="5.421875" style="2" customWidth="1"/>
    <col min="11709" max="11709" width="8.7109375" style="2" customWidth="1"/>
    <col min="11710" max="11710" width="5.57421875" style="2" customWidth="1"/>
    <col min="11711" max="11712" width="8.7109375" style="2" customWidth="1"/>
    <col min="11713" max="11713" width="5.57421875" style="2" customWidth="1"/>
    <col min="11714" max="11715" width="8.7109375" style="2" customWidth="1"/>
    <col min="11716" max="11716" width="5.57421875" style="2" customWidth="1"/>
    <col min="11717" max="11718" width="8.7109375" style="2" customWidth="1"/>
    <col min="11719" max="11719" width="5.421875" style="2" customWidth="1"/>
    <col min="11720" max="11720" width="8.7109375" style="2" customWidth="1"/>
    <col min="11721" max="11721" width="5.57421875" style="2" customWidth="1"/>
    <col min="11722" max="11723" width="8.7109375" style="2" customWidth="1"/>
    <col min="11724" max="11724" width="5.57421875" style="2" customWidth="1"/>
    <col min="11725" max="11726" width="8.7109375" style="2" customWidth="1"/>
    <col min="11727" max="11727" width="5.57421875" style="2" customWidth="1"/>
    <col min="11728" max="11729" width="8.7109375" style="2" customWidth="1"/>
    <col min="11730" max="11730" width="5.421875" style="2" customWidth="1"/>
    <col min="11731" max="11731" width="8.7109375" style="2" customWidth="1"/>
    <col min="11732" max="11732" width="5.57421875" style="2" customWidth="1"/>
    <col min="11733" max="11734" width="8.7109375" style="2" customWidth="1"/>
    <col min="11735" max="11735" width="5.57421875" style="2" customWidth="1"/>
    <col min="11736" max="11737" width="8.7109375" style="2" customWidth="1"/>
    <col min="11738" max="11738" width="5.57421875" style="2" customWidth="1"/>
    <col min="11739" max="11740" width="8.7109375" style="2" customWidth="1"/>
    <col min="11741" max="11952" width="5.28125" style="2" customWidth="1"/>
    <col min="11953" max="11953" width="5.421875" style="2" customWidth="1"/>
    <col min="11954" max="11954" width="8.7109375" style="2" customWidth="1"/>
    <col min="11955" max="11955" width="5.57421875" style="2" customWidth="1"/>
    <col min="11956" max="11957" width="8.7109375" style="2" customWidth="1"/>
    <col min="11958" max="11958" width="5.57421875" style="2" customWidth="1"/>
    <col min="11959" max="11960" width="8.7109375" style="2" customWidth="1"/>
    <col min="11961" max="11961" width="5.57421875" style="2" customWidth="1"/>
    <col min="11962" max="11963" width="8.7109375" style="2" customWidth="1"/>
    <col min="11964" max="11964" width="5.421875" style="2" customWidth="1"/>
    <col min="11965" max="11965" width="8.7109375" style="2" customWidth="1"/>
    <col min="11966" max="11966" width="5.57421875" style="2" customWidth="1"/>
    <col min="11967" max="11968" width="8.7109375" style="2" customWidth="1"/>
    <col min="11969" max="11969" width="5.57421875" style="2" customWidth="1"/>
    <col min="11970" max="11971" width="8.7109375" style="2" customWidth="1"/>
    <col min="11972" max="11972" width="5.57421875" style="2" customWidth="1"/>
    <col min="11973" max="11974" width="8.7109375" style="2" customWidth="1"/>
    <col min="11975" max="11975" width="5.421875" style="2" customWidth="1"/>
    <col min="11976" max="11976" width="8.7109375" style="2" customWidth="1"/>
    <col min="11977" max="11977" width="5.57421875" style="2" customWidth="1"/>
    <col min="11978" max="11979" width="8.7109375" style="2" customWidth="1"/>
    <col min="11980" max="11980" width="5.57421875" style="2" customWidth="1"/>
    <col min="11981" max="11982" width="8.7109375" style="2" customWidth="1"/>
    <col min="11983" max="11983" width="5.57421875" style="2" customWidth="1"/>
    <col min="11984" max="11985" width="8.7109375" style="2" customWidth="1"/>
    <col min="11986" max="11986" width="5.421875" style="2" customWidth="1"/>
    <col min="11987" max="11987" width="8.7109375" style="2" customWidth="1"/>
    <col min="11988" max="11988" width="5.57421875" style="2" customWidth="1"/>
    <col min="11989" max="11990" width="8.7109375" style="2" customWidth="1"/>
    <col min="11991" max="11991" width="5.57421875" style="2" customWidth="1"/>
    <col min="11992" max="11993" width="8.7109375" style="2" customWidth="1"/>
    <col min="11994" max="11994" width="5.57421875" style="2" customWidth="1"/>
    <col min="11995" max="11996" width="8.7109375" style="2" customWidth="1"/>
    <col min="11997" max="12208" width="5.28125" style="2" customWidth="1"/>
    <col min="12209" max="12209" width="5.421875" style="2" customWidth="1"/>
    <col min="12210" max="12210" width="8.7109375" style="2" customWidth="1"/>
    <col min="12211" max="12211" width="5.57421875" style="2" customWidth="1"/>
    <col min="12212" max="12213" width="8.7109375" style="2" customWidth="1"/>
    <col min="12214" max="12214" width="5.57421875" style="2" customWidth="1"/>
    <col min="12215" max="12216" width="8.7109375" style="2" customWidth="1"/>
    <col min="12217" max="12217" width="5.57421875" style="2" customWidth="1"/>
    <col min="12218" max="12219" width="8.7109375" style="2" customWidth="1"/>
    <col min="12220" max="12220" width="5.421875" style="2" customWidth="1"/>
    <col min="12221" max="12221" width="8.7109375" style="2" customWidth="1"/>
    <col min="12222" max="12222" width="5.57421875" style="2" customWidth="1"/>
    <col min="12223" max="12224" width="8.7109375" style="2" customWidth="1"/>
    <col min="12225" max="12225" width="5.57421875" style="2" customWidth="1"/>
    <col min="12226" max="12227" width="8.7109375" style="2" customWidth="1"/>
    <col min="12228" max="12228" width="5.57421875" style="2" customWidth="1"/>
    <col min="12229" max="12230" width="8.7109375" style="2" customWidth="1"/>
    <col min="12231" max="12231" width="5.421875" style="2" customWidth="1"/>
    <col min="12232" max="12232" width="8.7109375" style="2" customWidth="1"/>
    <col min="12233" max="12233" width="5.57421875" style="2" customWidth="1"/>
    <col min="12234" max="12235" width="8.7109375" style="2" customWidth="1"/>
    <col min="12236" max="12236" width="5.57421875" style="2" customWidth="1"/>
    <col min="12237" max="12238" width="8.7109375" style="2" customWidth="1"/>
    <col min="12239" max="12239" width="5.57421875" style="2" customWidth="1"/>
    <col min="12240" max="12241" width="8.7109375" style="2" customWidth="1"/>
    <col min="12242" max="12242" width="5.421875" style="2" customWidth="1"/>
    <col min="12243" max="12243" width="8.7109375" style="2" customWidth="1"/>
    <col min="12244" max="12244" width="5.57421875" style="2" customWidth="1"/>
    <col min="12245" max="12246" width="8.7109375" style="2" customWidth="1"/>
    <col min="12247" max="12247" width="5.57421875" style="2" customWidth="1"/>
    <col min="12248" max="12249" width="8.7109375" style="2" customWidth="1"/>
    <col min="12250" max="12250" width="5.57421875" style="2" customWidth="1"/>
    <col min="12251" max="12252" width="8.7109375" style="2" customWidth="1"/>
    <col min="12253" max="12464" width="5.28125" style="2" customWidth="1"/>
    <col min="12465" max="12465" width="5.421875" style="2" customWidth="1"/>
    <col min="12466" max="12466" width="8.7109375" style="2" customWidth="1"/>
    <col min="12467" max="12467" width="5.57421875" style="2" customWidth="1"/>
    <col min="12468" max="12469" width="8.7109375" style="2" customWidth="1"/>
    <col min="12470" max="12470" width="5.57421875" style="2" customWidth="1"/>
    <col min="12471" max="12472" width="8.7109375" style="2" customWidth="1"/>
    <col min="12473" max="12473" width="5.57421875" style="2" customWidth="1"/>
    <col min="12474" max="12475" width="8.7109375" style="2" customWidth="1"/>
    <col min="12476" max="12476" width="5.421875" style="2" customWidth="1"/>
    <col min="12477" max="12477" width="8.7109375" style="2" customWidth="1"/>
    <col min="12478" max="12478" width="5.57421875" style="2" customWidth="1"/>
    <col min="12479" max="12480" width="8.7109375" style="2" customWidth="1"/>
    <col min="12481" max="12481" width="5.57421875" style="2" customWidth="1"/>
    <col min="12482" max="12483" width="8.7109375" style="2" customWidth="1"/>
    <col min="12484" max="12484" width="5.57421875" style="2" customWidth="1"/>
    <col min="12485" max="12486" width="8.7109375" style="2" customWidth="1"/>
    <col min="12487" max="12487" width="5.421875" style="2" customWidth="1"/>
    <col min="12488" max="12488" width="8.7109375" style="2" customWidth="1"/>
    <col min="12489" max="12489" width="5.57421875" style="2" customWidth="1"/>
    <col min="12490" max="12491" width="8.7109375" style="2" customWidth="1"/>
    <col min="12492" max="12492" width="5.57421875" style="2" customWidth="1"/>
    <col min="12493" max="12494" width="8.7109375" style="2" customWidth="1"/>
    <col min="12495" max="12495" width="5.57421875" style="2" customWidth="1"/>
    <col min="12496" max="12497" width="8.7109375" style="2" customWidth="1"/>
    <col min="12498" max="12498" width="5.421875" style="2" customWidth="1"/>
    <col min="12499" max="12499" width="8.7109375" style="2" customWidth="1"/>
    <col min="12500" max="12500" width="5.57421875" style="2" customWidth="1"/>
    <col min="12501" max="12502" width="8.7109375" style="2" customWidth="1"/>
    <col min="12503" max="12503" width="5.57421875" style="2" customWidth="1"/>
    <col min="12504" max="12505" width="8.7109375" style="2" customWidth="1"/>
    <col min="12506" max="12506" width="5.57421875" style="2" customWidth="1"/>
    <col min="12507" max="12508" width="8.7109375" style="2" customWidth="1"/>
    <col min="12509" max="12720" width="5.28125" style="2" customWidth="1"/>
    <col min="12721" max="12721" width="5.421875" style="2" customWidth="1"/>
    <col min="12722" max="12722" width="8.7109375" style="2" customWidth="1"/>
    <col min="12723" max="12723" width="5.57421875" style="2" customWidth="1"/>
    <col min="12724" max="12725" width="8.7109375" style="2" customWidth="1"/>
    <col min="12726" max="12726" width="5.57421875" style="2" customWidth="1"/>
    <col min="12727" max="12728" width="8.7109375" style="2" customWidth="1"/>
    <col min="12729" max="12729" width="5.57421875" style="2" customWidth="1"/>
    <col min="12730" max="12731" width="8.7109375" style="2" customWidth="1"/>
    <col min="12732" max="12732" width="5.421875" style="2" customWidth="1"/>
    <col min="12733" max="12733" width="8.7109375" style="2" customWidth="1"/>
    <col min="12734" max="12734" width="5.57421875" style="2" customWidth="1"/>
    <col min="12735" max="12736" width="8.7109375" style="2" customWidth="1"/>
    <col min="12737" max="12737" width="5.57421875" style="2" customWidth="1"/>
    <col min="12738" max="12739" width="8.7109375" style="2" customWidth="1"/>
    <col min="12740" max="12740" width="5.57421875" style="2" customWidth="1"/>
    <col min="12741" max="12742" width="8.7109375" style="2" customWidth="1"/>
    <col min="12743" max="12743" width="5.421875" style="2" customWidth="1"/>
    <col min="12744" max="12744" width="8.7109375" style="2" customWidth="1"/>
    <col min="12745" max="12745" width="5.57421875" style="2" customWidth="1"/>
    <col min="12746" max="12747" width="8.7109375" style="2" customWidth="1"/>
    <col min="12748" max="12748" width="5.57421875" style="2" customWidth="1"/>
    <col min="12749" max="12750" width="8.7109375" style="2" customWidth="1"/>
    <col min="12751" max="12751" width="5.57421875" style="2" customWidth="1"/>
    <col min="12752" max="12753" width="8.7109375" style="2" customWidth="1"/>
    <col min="12754" max="12754" width="5.421875" style="2" customWidth="1"/>
    <col min="12755" max="12755" width="8.7109375" style="2" customWidth="1"/>
    <col min="12756" max="12756" width="5.57421875" style="2" customWidth="1"/>
    <col min="12757" max="12758" width="8.7109375" style="2" customWidth="1"/>
    <col min="12759" max="12759" width="5.57421875" style="2" customWidth="1"/>
    <col min="12760" max="12761" width="8.7109375" style="2" customWidth="1"/>
    <col min="12762" max="12762" width="5.57421875" style="2" customWidth="1"/>
    <col min="12763" max="12764" width="8.7109375" style="2" customWidth="1"/>
    <col min="12765" max="12976" width="5.28125" style="2" customWidth="1"/>
    <col min="12977" max="12977" width="5.421875" style="2" customWidth="1"/>
    <col min="12978" max="12978" width="8.7109375" style="2" customWidth="1"/>
    <col min="12979" max="12979" width="5.57421875" style="2" customWidth="1"/>
    <col min="12980" max="12981" width="8.7109375" style="2" customWidth="1"/>
    <col min="12982" max="12982" width="5.57421875" style="2" customWidth="1"/>
    <col min="12983" max="12984" width="8.7109375" style="2" customWidth="1"/>
    <col min="12985" max="12985" width="5.57421875" style="2" customWidth="1"/>
    <col min="12986" max="12987" width="8.7109375" style="2" customWidth="1"/>
    <col min="12988" max="12988" width="5.421875" style="2" customWidth="1"/>
    <col min="12989" max="12989" width="8.7109375" style="2" customWidth="1"/>
    <col min="12990" max="12990" width="5.57421875" style="2" customWidth="1"/>
    <col min="12991" max="12992" width="8.7109375" style="2" customWidth="1"/>
    <col min="12993" max="12993" width="5.57421875" style="2" customWidth="1"/>
    <col min="12994" max="12995" width="8.7109375" style="2" customWidth="1"/>
    <col min="12996" max="12996" width="5.57421875" style="2" customWidth="1"/>
    <col min="12997" max="12998" width="8.7109375" style="2" customWidth="1"/>
    <col min="12999" max="12999" width="5.421875" style="2" customWidth="1"/>
    <col min="13000" max="13000" width="8.7109375" style="2" customWidth="1"/>
    <col min="13001" max="13001" width="5.57421875" style="2" customWidth="1"/>
    <col min="13002" max="13003" width="8.7109375" style="2" customWidth="1"/>
    <col min="13004" max="13004" width="5.57421875" style="2" customWidth="1"/>
    <col min="13005" max="13006" width="8.7109375" style="2" customWidth="1"/>
    <col min="13007" max="13007" width="5.57421875" style="2" customWidth="1"/>
    <col min="13008" max="13009" width="8.7109375" style="2" customWidth="1"/>
    <col min="13010" max="13010" width="5.421875" style="2" customWidth="1"/>
    <col min="13011" max="13011" width="8.7109375" style="2" customWidth="1"/>
    <col min="13012" max="13012" width="5.57421875" style="2" customWidth="1"/>
    <col min="13013" max="13014" width="8.7109375" style="2" customWidth="1"/>
    <col min="13015" max="13015" width="5.57421875" style="2" customWidth="1"/>
    <col min="13016" max="13017" width="8.7109375" style="2" customWidth="1"/>
    <col min="13018" max="13018" width="5.57421875" style="2" customWidth="1"/>
    <col min="13019" max="13020" width="8.7109375" style="2" customWidth="1"/>
    <col min="13021" max="13232" width="5.28125" style="2" customWidth="1"/>
    <col min="13233" max="13233" width="5.421875" style="2" customWidth="1"/>
    <col min="13234" max="13234" width="8.7109375" style="2" customWidth="1"/>
    <col min="13235" max="13235" width="5.57421875" style="2" customWidth="1"/>
    <col min="13236" max="13237" width="8.7109375" style="2" customWidth="1"/>
    <col min="13238" max="13238" width="5.57421875" style="2" customWidth="1"/>
    <col min="13239" max="13240" width="8.7109375" style="2" customWidth="1"/>
    <col min="13241" max="13241" width="5.57421875" style="2" customWidth="1"/>
    <col min="13242" max="13243" width="8.7109375" style="2" customWidth="1"/>
    <col min="13244" max="13244" width="5.421875" style="2" customWidth="1"/>
    <col min="13245" max="13245" width="8.7109375" style="2" customWidth="1"/>
    <col min="13246" max="13246" width="5.57421875" style="2" customWidth="1"/>
    <col min="13247" max="13248" width="8.7109375" style="2" customWidth="1"/>
    <col min="13249" max="13249" width="5.57421875" style="2" customWidth="1"/>
    <col min="13250" max="13251" width="8.7109375" style="2" customWidth="1"/>
    <col min="13252" max="13252" width="5.57421875" style="2" customWidth="1"/>
    <col min="13253" max="13254" width="8.7109375" style="2" customWidth="1"/>
    <col min="13255" max="13255" width="5.421875" style="2" customWidth="1"/>
    <col min="13256" max="13256" width="8.7109375" style="2" customWidth="1"/>
    <col min="13257" max="13257" width="5.57421875" style="2" customWidth="1"/>
    <col min="13258" max="13259" width="8.7109375" style="2" customWidth="1"/>
    <col min="13260" max="13260" width="5.57421875" style="2" customWidth="1"/>
    <col min="13261" max="13262" width="8.7109375" style="2" customWidth="1"/>
    <col min="13263" max="13263" width="5.57421875" style="2" customWidth="1"/>
    <col min="13264" max="13265" width="8.7109375" style="2" customWidth="1"/>
    <col min="13266" max="13266" width="5.421875" style="2" customWidth="1"/>
    <col min="13267" max="13267" width="8.7109375" style="2" customWidth="1"/>
    <col min="13268" max="13268" width="5.57421875" style="2" customWidth="1"/>
    <col min="13269" max="13270" width="8.7109375" style="2" customWidth="1"/>
    <col min="13271" max="13271" width="5.57421875" style="2" customWidth="1"/>
    <col min="13272" max="13273" width="8.7109375" style="2" customWidth="1"/>
    <col min="13274" max="13274" width="5.57421875" style="2" customWidth="1"/>
    <col min="13275" max="13276" width="8.7109375" style="2" customWidth="1"/>
    <col min="13277" max="13488" width="5.28125" style="2" customWidth="1"/>
    <col min="13489" max="13489" width="5.421875" style="2" customWidth="1"/>
    <col min="13490" max="13490" width="8.7109375" style="2" customWidth="1"/>
    <col min="13491" max="13491" width="5.57421875" style="2" customWidth="1"/>
    <col min="13492" max="13493" width="8.7109375" style="2" customWidth="1"/>
    <col min="13494" max="13494" width="5.57421875" style="2" customWidth="1"/>
    <col min="13495" max="13496" width="8.7109375" style="2" customWidth="1"/>
    <col min="13497" max="13497" width="5.57421875" style="2" customWidth="1"/>
    <col min="13498" max="13499" width="8.7109375" style="2" customWidth="1"/>
    <col min="13500" max="13500" width="5.421875" style="2" customWidth="1"/>
    <col min="13501" max="13501" width="8.7109375" style="2" customWidth="1"/>
    <col min="13502" max="13502" width="5.57421875" style="2" customWidth="1"/>
    <col min="13503" max="13504" width="8.7109375" style="2" customWidth="1"/>
    <col min="13505" max="13505" width="5.57421875" style="2" customWidth="1"/>
    <col min="13506" max="13507" width="8.7109375" style="2" customWidth="1"/>
    <col min="13508" max="13508" width="5.57421875" style="2" customWidth="1"/>
    <col min="13509" max="13510" width="8.7109375" style="2" customWidth="1"/>
    <col min="13511" max="13511" width="5.421875" style="2" customWidth="1"/>
    <col min="13512" max="13512" width="8.7109375" style="2" customWidth="1"/>
    <col min="13513" max="13513" width="5.57421875" style="2" customWidth="1"/>
    <col min="13514" max="13515" width="8.7109375" style="2" customWidth="1"/>
    <col min="13516" max="13516" width="5.57421875" style="2" customWidth="1"/>
    <col min="13517" max="13518" width="8.7109375" style="2" customWidth="1"/>
    <col min="13519" max="13519" width="5.57421875" style="2" customWidth="1"/>
    <col min="13520" max="13521" width="8.7109375" style="2" customWidth="1"/>
    <col min="13522" max="13522" width="5.421875" style="2" customWidth="1"/>
    <col min="13523" max="13523" width="8.7109375" style="2" customWidth="1"/>
    <col min="13524" max="13524" width="5.57421875" style="2" customWidth="1"/>
    <col min="13525" max="13526" width="8.7109375" style="2" customWidth="1"/>
    <col min="13527" max="13527" width="5.57421875" style="2" customWidth="1"/>
    <col min="13528" max="13529" width="8.7109375" style="2" customWidth="1"/>
    <col min="13530" max="13530" width="5.57421875" style="2" customWidth="1"/>
    <col min="13531" max="13532" width="8.7109375" style="2" customWidth="1"/>
    <col min="13533" max="13744" width="5.28125" style="2" customWidth="1"/>
    <col min="13745" max="13745" width="5.421875" style="2" customWidth="1"/>
    <col min="13746" max="13746" width="8.7109375" style="2" customWidth="1"/>
    <col min="13747" max="13747" width="5.57421875" style="2" customWidth="1"/>
    <col min="13748" max="13749" width="8.7109375" style="2" customWidth="1"/>
    <col min="13750" max="13750" width="5.57421875" style="2" customWidth="1"/>
    <col min="13751" max="13752" width="8.7109375" style="2" customWidth="1"/>
    <col min="13753" max="13753" width="5.57421875" style="2" customWidth="1"/>
    <col min="13754" max="13755" width="8.7109375" style="2" customWidth="1"/>
    <col min="13756" max="13756" width="5.421875" style="2" customWidth="1"/>
    <col min="13757" max="13757" width="8.7109375" style="2" customWidth="1"/>
    <col min="13758" max="13758" width="5.57421875" style="2" customWidth="1"/>
    <col min="13759" max="13760" width="8.7109375" style="2" customWidth="1"/>
    <col min="13761" max="13761" width="5.57421875" style="2" customWidth="1"/>
    <col min="13762" max="13763" width="8.7109375" style="2" customWidth="1"/>
    <col min="13764" max="13764" width="5.57421875" style="2" customWidth="1"/>
    <col min="13765" max="13766" width="8.7109375" style="2" customWidth="1"/>
    <col min="13767" max="13767" width="5.421875" style="2" customWidth="1"/>
    <col min="13768" max="13768" width="8.7109375" style="2" customWidth="1"/>
    <col min="13769" max="13769" width="5.57421875" style="2" customWidth="1"/>
    <col min="13770" max="13771" width="8.7109375" style="2" customWidth="1"/>
    <col min="13772" max="13772" width="5.57421875" style="2" customWidth="1"/>
    <col min="13773" max="13774" width="8.7109375" style="2" customWidth="1"/>
    <col min="13775" max="13775" width="5.57421875" style="2" customWidth="1"/>
    <col min="13776" max="13777" width="8.7109375" style="2" customWidth="1"/>
    <col min="13778" max="13778" width="5.421875" style="2" customWidth="1"/>
    <col min="13779" max="13779" width="8.7109375" style="2" customWidth="1"/>
    <col min="13780" max="13780" width="5.57421875" style="2" customWidth="1"/>
    <col min="13781" max="13782" width="8.7109375" style="2" customWidth="1"/>
    <col min="13783" max="13783" width="5.57421875" style="2" customWidth="1"/>
    <col min="13784" max="13785" width="8.7109375" style="2" customWidth="1"/>
    <col min="13786" max="13786" width="5.57421875" style="2" customWidth="1"/>
    <col min="13787" max="13788" width="8.7109375" style="2" customWidth="1"/>
    <col min="13789" max="14000" width="5.28125" style="2" customWidth="1"/>
    <col min="14001" max="14001" width="5.421875" style="2" customWidth="1"/>
    <col min="14002" max="14002" width="8.7109375" style="2" customWidth="1"/>
    <col min="14003" max="14003" width="5.57421875" style="2" customWidth="1"/>
    <col min="14004" max="14005" width="8.7109375" style="2" customWidth="1"/>
    <col min="14006" max="14006" width="5.57421875" style="2" customWidth="1"/>
    <col min="14007" max="14008" width="8.7109375" style="2" customWidth="1"/>
    <col min="14009" max="14009" width="5.57421875" style="2" customWidth="1"/>
    <col min="14010" max="14011" width="8.7109375" style="2" customWidth="1"/>
    <col min="14012" max="14012" width="5.421875" style="2" customWidth="1"/>
    <col min="14013" max="14013" width="8.7109375" style="2" customWidth="1"/>
    <col min="14014" max="14014" width="5.57421875" style="2" customWidth="1"/>
    <col min="14015" max="14016" width="8.7109375" style="2" customWidth="1"/>
    <col min="14017" max="14017" width="5.57421875" style="2" customWidth="1"/>
    <col min="14018" max="14019" width="8.7109375" style="2" customWidth="1"/>
    <col min="14020" max="14020" width="5.57421875" style="2" customWidth="1"/>
    <col min="14021" max="14022" width="8.7109375" style="2" customWidth="1"/>
    <col min="14023" max="14023" width="5.421875" style="2" customWidth="1"/>
    <col min="14024" max="14024" width="8.7109375" style="2" customWidth="1"/>
    <col min="14025" max="14025" width="5.57421875" style="2" customWidth="1"/>
    <col min="14026" max="14027" width="8.7109375" style="2" customWidth="1"/>
    <col min="14028" max="14028" width="5.57421875" style="2" customWidth="1"/>
    <col min="14029" max="14030" width="8.7109375" style="2" customWidth="1"/>
    <col min="14031" max="14031" width="5.57421875" style="2" customWidth="1"/>
    <col min="14032" max="14033" width="8.7109375" style="2" customWidth="1"/>
    <col min="14034" max="14034" width="5.421875" style="2" customWidth="1"/>
    <col min="14035" max="14035" width="8.7109375" style="2" customWidth="1"/>
    <col min="14036" max="14036" width="5.57421875" style="2" customWidth="1"/>
    <col min="14037" max="14038" width="8.7109375" style="2" customWidth="1"/>
    <col min="14039" max="14039" width="5.57421875" style="2" customWidth="1"/>
    <col min="14040" max="14041" width="8.7109375" style="2" customWidth="1"/>
    <col min="14042" max="14042" width="5.57421875" style="2" customWidth="1"/>
    <col min="14043" max="14044" width="8.7109375" style="2" customWidth="1"/>
    <col min="14045" max="14256" width="5.28125" style="2" customWidth="1"/>
    <col min="14257" max="14257" width="5.421875" style="2" customWidth="1"/>
    <col min="14258" max="14258" width="8.7109375" style="2" customWidth="1"/>
    <col min="14259" max="14259" width="5.57421875" style="2" customWidth="1"/>
    <col min="14260" max="14261" width="8.7109375" style="2" customWidth="1"/>
    <col min="14262" max="14262" width="5.57421875" style="2" customWidth="1"/>
    <col min="14263" max="14264" width="8.7109375" style="2" customWidth="1"/>
    <col min="14265" max="14265" width="5.57421875" style="2" customWidth="1"/>
    <col min="14266" max="14267" width="8.7109375" style="2" customWidth="1"/>
    <col min="14268" max="14268" width="5.421875" style="2" customWidth="1"/>
    <col min="14269" max="14269" width="8.7109375" style="2" customWidth="1"/>
    <col min="14270" max="14270" width="5.57421875" style="2" customWidth="1"/>
    <col min="14271" max="14272" width="8.7109375" style="2" customWidth="1"/>
    <col min="14273" max="14273" width="5.57421875" style="2" customWidth="1"/>
    <col min="14274" max="14275" width="8.7109375" style="2" customWidth="1"/>
    <col min="14276" max="14276" width="5.57421875" style="2" customWidth="1"/>
    <col min="14277" max="14278" width="8.7109375" style="2" customWidth="1"/>
    <col min="14279" max="14279" width="5.421875" style="2" customWidth="1"/>
    <col min="14280" max="14280" width="8.7109375" style="2" customWidth="1"/>
    <col min="14281" max="14281" width="5.57421875" style="2" customWidth="1"/>
    <col min="14282" max="14283" width="8.7109375" style="2" customWidth="1"/>
    <col min="14284" max="14284" width="5.57421875" style="2" customWidth="1"/>
    <col min="14285" max="14286" width="8.7109375" style="2" customWidth="1"/>
    <col min="14287" max="14287" width="5.57421875" style="2" customWidth="1"/>
    <col min="14288" max="14289" width="8.7109375" style="2" customWidth="1"/>
    <col min="14290" max="14290" width="5.421875" style="2" customWidth="1"/>
    <col min="14291" max="14291" width="8.7109375" style="2" customWidth="1"/>
    <col min="14292" max="14292" width="5.57421875" style="2" customWidth="1"/>
    <col min="14293" max="14294" width="8.7109375" style="2" customWidth="1"/>
    <col min="14295" max="14295" width="5.57421875" style="2" customWidth="1"/>
    <col min="14296" max="14297" width="8.7109375" style="2" customWidth="1"/>
    <col min="14298" max="14298" width="5.57421875" style="2" customWidth="1"/>
    <col min="14299" max="14300" width="8.7109375" style="2" customWidth="1"/>
    <col min="14301" max="14512" width="5.28125" style="2" customWidth="1"/>
    <col min="14513" max="14513" width="5.421875" style="2" customWidth="1"/>
    <col min="14514" max="14514" width="8.7109375" style="2" customWidth="1"/>
    <col min="14515" max="14515" width="5.57421875" style="2" customWidth="1"/>
    <col min="14516" max="14517" width="8.7109375" style="2" customWidth="1"/>
    <col min="14518" max="14518" width="5.57421875" style="2" customWidth="1"/>
    <col min="14519" max="14520" width="8.7109375" style="2" customWidth="1"/>
    <col min="14521" max="14521" width="5.57421875" style="2" customWidth="1"/>
    <col min="14522" max="14523" width="8.7109375" style="2" customWidth="1"/>
    <col min="14524" max="14524" width="5.421875" style="2" customWidth="1"/>
    <col min="14525" max="14525" width="8.7109375" style="2" customWidth="1"/>
    <col min="14526" max="14526" width="5.57421875" style="2" customWidth="1"/>
    <col min="14527" max="14528" width="8.7109375" style="2" customWidth="1"/>
    <col min="14529" max="14529" width="5.57421875" style="2" customWidth="1"/>
    <col min="14530" max="14531" width="8.7109375" style="2" customWidth="1"/>
    <col min="14532" max="14532" width="5.57421875" style="2" customWidth="1"/>
    <col min="14533" max="14534" width="8.7109375" style="2" customWidth="1"/>
    <col min="14535" max="14535" width="5.421875" style="2" customWidth="1"/>
    <col min="14536" max="14536" width="8.7109375" style="2" customWidth="1"/>
    <col min="14537" max="14537" width="5.57421875" style="2" customWidth="1"/>
    <col min="14538" max="14539" width="8.7109375" style="2" customWidth="1"/>
    <col min="14540" max="14540" width="5.57421875" style="2" customWidth="1"/>
    <col min="14541" max="14542" width="8.7109375" style="2" customWidth="1"/>
    <col min="14543" max="14543" width="5.57421875" style="2" customWidth="1"/>
    <col min="14544" max="14545" width="8.7109375" style="2" customWidth="1"/>
    <col min="14546" max="14546" width="5.421875" style="2" customWidth="1"/>
    <col min="14547" max="14547" width="8.7109375" style="2" customWidth="1"/>
    <col min="14548" max="14548" width="5.57421875" style="2" customWidth="1"/>
    <col min="14549" max="14550" width="8.7109375" style="2" customWidth="1"/>
    <col min="14551" max="14551" width="5.57421875" style="2" customWidth="1"/>
    <col min="14552" max="14553" width="8.7109375" style="2" customWidth="1"/>
    <col min="14554" max="14554" width="5.57421875" style="2" customWidth="1"/>
    <col min="14555" max="14556" width="8.7109375" style="2" customWidth="1"/>
    <col min="14557" max="14768" width="5.28125" style="2" customWidth="1"/>
    <col min="14769" max="14769" width="5.421875" style="2" customWidth="1"/>
    <col min="14770" max="14770" width="8.7109375" style="2" customWidth="1"/>
    <col min="14771" max="14771" width="5.57421875" style="2" customWidth="1"/>
    <col min="14772" max="14773" width="8.7109375" style="2" customWidth="1"/>
    <col min="14774" max="14774" width="5.57421875" style="2" customWidth="1"/>
    <col min="14775" max="14776" width="8.7109375" style="2" customWidth="1"/>
    <col min="14777" max="14777" width="5.57421875" style="2" customWidth="1"/>
    <col min="14778" max="14779" width="8.7109375" style="2" customWidth="1"/>
    <col min="14780" max="14780" width="5.421875" style="2" customWidth="1"/>
    <col min="14781" max="14781" width="8.7109375" style="2" customWidth="1"/>
    <col min="14782" max="14782" width="5.57421875" style="2" customWidth="1"/>
    <col min="14783" max="14784" width="8.7109375" style="2" customWidth="1"/>
    <col min="14785" max="14785" width="5.57421875" style="2" customWidth="1"/>
    <col min="14786" max="14787" width="8.7109375" style="2" customWidth="1"/>
    <col min="14788" max="14788" width="5.57421875" style="2" customWidth="1"/>
    <col min="14789" max="14790" width="8.7109375" style="2" customWidth="1"/>
    <col min="14791" max="14791" width="5.421875" style="2" customWidth="1"/>
    <col min="14792" max="14792" width="8.7109375" style="2" customWidth="1"/>
    <col min="14793" max="14793" width="5.57421875" style="2" customWidth="1"/>
    <col min="14794" max="14795" width="8.7109375" style="2" customWidth="1"/>
    <col min="14796" max="14796" width="5.57421875" style="2" customWidth="1"/>
    <col min="14797" max="14798" width="8.7109375" style="2" customWidth="1"/>
    <col min="14799" max="14799" width="5.57421875" style="2" customWidth="1"/>
    <col min="14800" max="14801" width="8.7109375" style="2" customWidth="1"/>
    <col min="14802" max="14802" width="5.421875" style="2" customWidth="1"/>
    <col min="14803" max="14803" width="8.7109375" style="2" customWidth="1"/>
    <col min="14804" max="14804" width="5.57421875" style="2" customWidth="1"/>
    <col min="14805" max="14806" width="8.7109375" style="2" customWidth="1"/>
    <col min="14807" max="14807" width="5.57421875" style="2" customWidth="1"/>
    <col min="14808" max="14809" width="8.7109375" style="2" customWidth="1"/>
    <col min="14810" max="14810" width="5.57421875" style="2" customWidth="1"/>
    <col min="14811" max="14812" width="8.7109375" style="2" customWidth="1"/>
    <col min="14813" max="16384" width="5.28125" style="2" customWidth="1"/>
  </cols>
  <sheetData>
    <row r="1" spans="1:14" ht="49.15" customHeigh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15.6" customHeight="1" thickBot="1">
      <c r="A2" s="1"/>
      <c r="B2" s="1"/>
      <c r="C2" s="1"/>
      <c r="D2" s="1"/>
      <c r="E2" s="140"/>
      <c r="F2" s="1"/>
      <c r="G2" s="140"/>
      <c r="H2" s="1"/>
      <c r="I2" s="1"/>
      <c r="J2" s="1"/>
      <c r="K2" s="1"/>
      <c r="L2" s="1"/>
      <c r="M2" s="1"/>
      <c r="N2" s="1"/>
    </row>
    <row r="3" spans="1:14" ht="30.6" customHeight="1">
      <c r="A3" s="293" t="s">
        <v>1</v>
      </c>
      <c r="B3" s="295" t="s">
        <v>2</v>
      </c>
      <c r="C3" s="296"/>
      <c r="D3" s="297"/>
      <c r="E3" s="295" t="s">
        <v>160</v>
      </c>
      <c r="F3" s="296"/>
      <c r="G3" s="297"/>
      <c r="H3" s="295"/>
      <c r="I3" s="296"/>
      <c r="J3" s="297"/>
      <c r="K3" s="295"/>
      <c r="L3" s="296"/>
      <c r="M3" s="297"/>
      <c r="N3" s="298" t="s">
        <v>3</v>
      </c>
    </row>
    <row r="4" spans="1:14" ht="30.6" customHeight="1">
      <c r="A4" s="294"/>
      <c r="B4" s="3" t="s">
        <v>4</v>
      </c>
      <c r="C4" s="4" t="s">
        <v>5</v>
      </c>
      <c r="D4" s="5" t="s">
        <v>6</v>
      </c>
      <c r="E4" s="3" t="s">
        <v>4</v>
      </c>
      <c r="F4" s="4" t="s">
        <v>5</v>
      </c>
      <c r="G4" s="5" t="s">
        <v>6</v>
      </c>
      <c r="H4" s="3" t="s">
        <v>4</v>
      </c>
      <c r="I4" s="4" t="s">
        <v>5</v>
      </c>
      <c r="J4" s="5" t="s">
        <v>6</v>
      </c>
      <c r="K4" s="3" t="s">
        <v>4</v>
      </c>
      <c r="L4" s="4" t="s">
        <v>5</v>
      </c>
      <c r="M4" s="5" t="s">
        <v>6</v>
      </c>
      <c r="N4" s="299"/>
    </row>
    <row r="5" spans="1:14" ht="30.6" customHeight="1">
      <c r="A5" s="6" t="s">
        <v>2</v>
      </c>
      <c r="B5" s="7">
        <f>SUM(B6:B19)</f>
        <v>45</v>
      </c>
      <c r="C5" s="4" t="s">
        <v>5</v>
      </c>
      <c r="D5" s="290">
        <f>SUM(D6:D19)</f>
        <v>19017</v>
      </c>
      <c r="E5" s="145">
        <f>SUM(E6:E19)</f>
        <v>45</v>
      </c>
      <c r="F5" s="4" t="s">
        <v>5</v>
      </c>
      <c r="G5" s="148">
        <f>SUM(G6:G19)</f>
        <v>19017</v>
      </c>
      <c r="H5" s="7">
        <f>SUM(H6:H19)</f>
        <v>0</v>
      </c>
      <c r="I5" s="4" t="s">
        <v>5</v>
      </c>
      <c r="J5" s="8">
        <f>SUM(J6:J19)</f>
        <v>0</v>
      </c>
      <c r="K5" s="7">
        <f>SUM(K6:K19)</f>
        <v>0</v>
      </c>
      <c r="L5" s="4" t="s">
        <v>5</v>
      </c>
      <c r="M5" s="8">
        <f>SUM(M6:M19)</f>
        <v>0</v>
      </c>
      <c r="N5" s="9"/>
    </row>
    <row r="6" spans="1:14" ht="30.6" customHeight="1">
      <c r="A6" s="6" t="s">
        <v>7</v>
      </c>
      <c r="B6" s="3">
        <f aca="true" t="shared" si="0" ref="B6:B19">E6+K6</f>
        <v>10</v>
      </c>
      <c r="C6" s="4" t="s">
        <v>5</v>
      </c>
      <c r="D6" s="291">
        <f aca="true" t="shared" si="1" ref="D6:D19">G6+M6</f>
        <v>945</v>
      </c>
      <c r="E6" s="146">
        <f>'용지조서(이인리)'!L82</f>
        <v>10</v>
      </c>
      <c r="F6" s="4" t="s">
        <v>5</v>
      </c>
      <c r="G6" s="149">
        <f>'용지조서(이인리)'!L81</f>
        <v>945</v>
      </c>
      <c r="H6" s="3"/>
      <c r="I6" s="4" t="s">
        <v>5</v>
      </c>
      <c r="J6" s="5"/>
      <c r="K6" s="3"/>
      <c r="L6" s="4" t="s">
        <v>5</v>
      </c>
      <c r="M6" s="5"/>
      <c r="N6" s="10"/>
    </row>
    <row r="7" spans="1:14" ht="30.6" customHeight="1">
      <c r="A7" s="6" t="s">
        <v>8</v>
      </c>
      <c r="B7" s="3">
        <f t="shared" si="0"/>
        <v>8</v>
      </c>
      <c r="C7" s="4" t="s">
        <v>5</v>
      </c>
      <c r="D7" s="291">
        <f t="shared" si="1"/>
        <v>2552</v>
      </c>
      <c r="E7" s="146">
        <f>'용지조서(이인리)'!D82</f>
        <v>8</v>
      </c>
      <c r="F7" s="4" t="s">
        <v>5</v>
      </c>
      <c r="G7" s="149">
        <f>'용지조서(이인리)'!D81</f>
        <v>2552</v>
      </c>
      <c r="H7" s="3"/>
      <c r="I7" s="4" t="s">
        <v>5</v>
      </c>
      <c r="J7" s="5"/>
      <c r="K7" s="3"/>
      <c r="L7" s="4" t="s">
        <v>5</v>
      </c>
      <c r="M7" s="5"/>
      <c r="N7" s="10"/>
    </row>
    <row r="8" spans="1:14" ht="30.6" customHeight="1">
      <c r="A8" s="6" t="s">
        <v>9</v>
      </c>
      <c r="B8" s="3">
        <f t="shared" si="0"/>
        <v>0</v>
      </c>
      <c r="C8" s="4" t="s">
        <v>5</v>
      </c>
      <c r="D8" s="291">
        <f t="shared" si="1"/>
        <v>0</v>
      </c>
      <c r="E8" s="146">
        <f>'용지조서(이인리)'!D85</f>
        <v>0</v>
      </c>
      <c r="F8" s="4" t="s">
        <v>5</v>
      </c>
      <c r="G8" s="149">
        <f>'용지조서(이인리)'!D84</f>
        <v>0</v>
      </c>
      <c r="H8" s="3"/>
      <c r="I8" s="4" t="s">
        <v>5</v>
      </c>
      <c r="J8" s="5"/>
      <c r="K8" s="3"/>
      <c r="L8" s="4" t="s">
        <v>5</v>
      </c>
      <c r="M8" s="5"/>
      <c r="N8" s="10"/>
    </row>
    <row r="9" spans="1:14" ht="30.6" customHeight="1">
      <c r="A9" s="6" t="s">
        <v>10</v>
      </c>
      <c r="B9" s="3">
        <f t="shared" si="0"/>
        <v>0</v>
      </c>
      <c r="C9" s="4" t="s">
        <v>5</v>
      </c>
      <c r="D9" s="291">
        <f t="shared" si="1"/>
        <v>0</v>
      </c>
      <c r="E9" s="146"/>
      <c r="F9" s="4" t="s">
        <v>5</v>
      </c>
      <c r="G9" s="149"/>
      <c r="H9" s="3"/>
      <c r="I9" s="4" t="s">
        <v>5</v>
      </c>
      <c r="J9" s="5"/>
      <c r="K9" s="3"/>
      <c r="L9" s="4" t="s">
        <v>5</v>
      </c>
      <c r="M9" s="5"/>
      <c r="N9" s="10"/>
    </row>
    <row r="10" spans="1:14" ht="30.6" customHeight="1">
      <c r="A10" s="6" t="s">
        <v>11</v>
      </c>
      <c r="B10" s="3">
        <f t="shared" si="0"/>
        <v>22</v>
      </c>
      <c r="C10" s="4" t="s">
        <v>5</v>
      </c>
      <c r="D10" s="291">
        <f t="shared" si="1"/>
        <v>8878</v>
      </c>
      <c r="E10" s="146">
        <f>'용지조서(이인리)'!F82</f>
        <v>22</v>
      </c>
      <c r="F10" s="4" t="s">
        <v>5</v>
      </c>
      <c r="G10" s="149">
        <f>'용지조서(이인리)'!F81</f>
        <v>8878</v>
      </c>
      <c r="H10" s="3"/>
      <c r="I10" s="4" t="s">
        <v>5</v>
      </c>
      <c r="J10" s="5"/>
      <c r="K10" s="3"/>
      <c r="L10" s="4" t="s">
        <v>5</v>
      </c>
      <c r="M10" s="5"/>
      <c r="N10" s="10"/>
    </row>
    <row r="11" spans="1:14" ht="30.6" customHeight="1">
      <c r="A11" s="6" t="s">
        <v>12</v>
      </c>
      <c r="B11" s="3">
        <f t="shared" si="0"/>
        <v>1</v>
      </c>
      <c r="C11" s="4" t="s">
        <v>5</v>
      </c>
      <c r="D11" s="291">
        <f t="shared" si="1"/>
        <v>6242</v>
      </c>
      <c r="E11" s="146">
        <f>'용지조서(이인리)'!L85</f>
        <v>1</v>
      </c>
      <c r="F11" s="4" t="s">
        <v>5</v>
      </c>
      <c r="G11" s="149">
        <f>'용지조서(이인리)'!L84</f>
        <v>6242</v>
      </c>
      <c r="H11" s="3"/>
      <c r="I11" s="4" t="s">
        <v>5</v>
      </c>
      <c r="J11" s="5"/>
      <c r="K11" s="3"/>
      <c r="L11" s="4" t="s">
        <v>5</v>
      </c>
      <c r="M11" s="5"/>
      <c r="N11" s="10"/>
    </row>
    <row r="12" spans="1:14" ht="30.6" customHeight="1">
      <c r="A12" s="6" t="s">
        <v>13</v>
      </c>
      <c r="B12" s="3">
        <f t="shared" si="0"/>
        <v>4</v>
      </c>
      <c r="C12" s="4" t="s">
        <v>5</v>
      </c>
      <c r="D12" s="291">
        <f t="shared" si="1"/>
        <v>400</v>
      </c>
      <c r="E12" s="146">
        <f>'용지조서(이인리)'!N82</f>
        <v>4</v>
      </c>
      <c r="F12" s="4" t="s">
        <v>5</v>
      </c>
      <c r="G12" s="149">
        <f>'용지조서(이인리)'!N81</f>
        <v>400</v>
      </c>
      <c r="H12" s="3"/>
      <c r="I12" s="4" t="s">
        <v>5</v>
      </c>
      <c r="J12" s="5"/>
      <c r="K12" s="3"/>
      <c r="L12" s="4" t="s">
        <v>5</v>
      </c>
      <c r="M12" s="5"/>
      <c r="N12" s="10"/>
    </row>
    <row r="13" spans="1:14" ht="30.6" customHeight="1">
      <c r="A13" s="6" t="s">
        <v>14</v>
      </c>
      <c r="B13" s="3">
        <f t="shared" si="0"/>
        <v>0</v>
      </c>
      <c r="C13" s="4" t="s">
        <v>5</v>
      </c>
      <c r="D13" s="5">
        <f t="shared" si="1"/>
        <v>0</v>
      </c>
      <c r="E13" s="146"/>
      <c r="F13" s="4" t="s">
        <v>5</v>
      </c>
      <c r="G13" s="149"/>
      <c r="H13" s="3"/>
      <c r="I13" s="4" t="s">
        <v>5</v>
      </c>
      <c r="J13" s="5"/>
      <c r="K13" s="3"/>
      <c r="L13" s="4" t="s">
        <v>5</v>
      </c>
      <c r="M13" s="5"/>
      <c r="N13" s="10"/>
    </row>
    <row r="14" spans="1:14" ht="30.6" customHeight="1">
      <c r="A14" s="6" t="s">
        <v>15</v>
      </c>
      <c r="B14" s="3">
        <f t="shared" si="0"/>
        <v>0</v>
      </c>
      <c r="C14" s="4" t="s">
        <v>5</v>
      </c>
      <c r="D14" s="5">
        <f t="shared" si="1"/>
        <v>0</v>
      </c>
      <c r="E14" s="146"/>
      <c r="F14" s="4" t="s">
        <v>5</v>
      </c>
      <c r="G14" s="149"/>
      <c r="H14" s="3"/>
      <c r="I14" s="4" t="s">
        <v>5</v>
      </c>
      <c r="J14" s="5"/>
      <c r="K14" s="3"/>
      <c r="L14" s="4" t="s">
        <v>5</v>
      </c>
      <c r="M14" s="5"/>
      <c r="N14" s="10"/>
    </row>
    <row r="15" spans="1:14" ht="30.6" customHeight="1">
      <c r="A15" s="6" t="s">
        <v>16</v>
      </c>
      <c r="B15" s="3">
        <f t="shared" si="0"/>
        <v>0</v>
      </c>
      <c r="C15" s="4" t="s">
        <v>5</v>
      </c>
      <c r="D15" s="5">
        <f t="shared" si="1"/>
        <v>0</v>
      </c>
      <c r="E15" s="146"/>
      <c r="F15" s="4" t="s">
        <v>5</v>
      </c>
      <c r="G15" s="149"/>
      <c r="H15" s="3"/>
      <c r="I15" s="4" t="s">
        <v>5</v>
      </c>
      <c r="J15" s="5"/>
      <c r="K15" s="3"/>
      <c r="L15" s="4" t="s">
        <v>5</v>
      </c>
      <c r="M15" s="5"/>
      <c r="N15" s="10"/>
    </row>
    <row r="16" spans="1:14" ht="30.6" customHeight="1">
      <c r="A16" s="6" t="s">
        <v>17</v>
      </c>
      <c r="B16" s="3">
        <f t="shared" si="0"/>
        <v>0</v>
      </c>
      <c r="C16" s="4" t="s">
        <v>5</v>
      </c>
      <c r="D16" s="5">
        <f t="shared" si="1"/>
        <v>0</v>
      </c>
      <c r="E16" s="146"/>
      <c r="F16" s="4" t="s">
        <v>5</v>
      </c>
      <c r="G16" s="149"/>
      <c r="H16" s="3"/>
      <c r="I16" s="4" t="s">
        <v>5</v>
      </c>
      <c r="J16" s="5"/>
      <c r="K16" s="3"/>
      <c r="L16" s="4" t="s">
        <v>5</v>
      </c>
      <c r="M16" s="5"/>
      <c r="N16" s="10"/>
    </row>
    <row r="17" spans="1:14" ht="30.6" customHeight="1">
      <c r="A17" s="142" t="s">
        <v>68</v>
      </c>
      <c r="B17" s="3">
        <f t="shared" si="0"/>
        <v>0</v>
      </c>
      <c r="C17" s="4" t="s">
        <v>5</v>
      </c>
      <c r="D17" s="5">
        <f t="shared" si="1"/>
        <v>0</v>
      </c>
      <c r="E17" s="146"/>
      <c r="F17" s="4" t="s">
        <v>5</v>
      </c>
      <c r="G17" s="149"/>
      <c r="H17" s="3"/>
      <c r="I17" s="4" t="s">
        <v>5</v>
      </c>
      <c r="J17" s="5"/>
      <c r="K17" s="3"/>
      <c r="L17" s="4" t="s">
        <v>5</v>
      </c>
      <c r="M17" s="5"/>
      <c r="N17" s="10"/>
    </row>
    <row r="18" spans="1:14" ht="30.6" customHeight="1">
      <c r="A18" s="11" t="s">
        <v>18</v>
      </c>
      <c r="B18" s="3">
        <f t="shared" si="0"/>
        <v>0</v>
      </c>
      <c r="C18" s="4" t="s">
        <v>5</v>
      </c>
      <c r="D18" s="5">
        <f t="shared" si="1"/>
        <v>0</v>
      </c>
      <c r="E18" s="146"/>
      <c r="F18" s="4" t="s">
        <v>5</v>
      </c>
      <c r="G18" s="149"/>
      <c r="H18" s="3"/>
      <c r="I18" s="4" t="s">
        <v>5</v>
      </c>
      <c r="J18" s="5"/>
      <c r="K18" s="3"/>
      <c r="L18" s="4" t="s">
        <v>5</v>
      </c>
      <c r="M18" s="5"/>
      <c r="N18" s="10"/>
    </row>
    <row r="19" spans="1:14" s="17" customFormat="1" ht="30.6" customHeight="1" thickBot="1">
      <c r="A19" s="12" t="s">
        <v>19</v>
      </c>
      <c r="B19" s="13">
        <f t="shared" si="0"/>
        <v>0</v>
      </c>
      <c r="C19" s="14" t="s">
        <v>5</v>
      </c>
      <c r="D19" s="15">
        <f t="shared" si="1"/>
        <v>0</v>
      </c>
      <c r="E19" s="147"/>
      <c r="F19" s="14" t="s">
        <v>5</v>
      </c>
      <c r="G19" s="150"/>
      <c r="H19" s="13"/>
      <c r="I19" s="14" t="s">
        <v>5</v>
      </c>
      <c r="J19" s="15"/>
      <c r="K19" s="13"/>
      <c r="L19" s="14" t="s">
        <v>5</v>
      </c>
      <c r="M19" s="15"/>
      <c r="N19" s="16"/>
    </row>
    <row r="20" s="17" customFormat="1" ht="30.6" customHeight="1"/>
    <row r="21" spans="5:7" s="18" customFormat="1" ht="30.6" customHeight="1">
      <c r="E21" s="53"/>
      <c r="G21" s="53"/>
    </row>
    <row r="22" spans="5:7" s="18" customFormat="1" ht="28.9" customHeight="1">
      <c r="E22" s="53"/>
      <c r="G22" s="53"/>
    </row>
    <row r="23" spans="5:7" s="18" customFormat="1" ht="28.9" customHeight="1">
      <c r="E23" s="53"/>
      <c r="G23" s="53"/>
    </row>
    <row r="24" spans="5:7" s="18" customFormat="1" ht="28.9" customHeight="1">
      <c r="E24" s="53"/>
      <c r="G24" s="53"/>
    </row>
    <row r="25" spans="5:7" s="18" customFormat="1" ht="24.6" customHeight="1">
      <c r="E25" s="53"/>
      <c r="G25" s="53"/>
    </row>
    <row r="26" spans="5:7" s="18" customFormat="1" ht="24.6" customHeight="1">
      <c r="E26" s="53"/>
      <c r="G26" s="53"/>
    </row>
    <row r="27" spans="5:7" s="18" customFormat="1" ht="24.6" customHeight="1">
      <c r="E27" s="53"/>
      <c r="G27" s="53"/>
    </row>
    <row r="28" spans="5:7" s="18" customFormat="1" ht="24.6" customHeight="1">
      <c r="E28" s="53"/>
      <c r="G28" s="53"/>
    </row>
    <row r="29" spans="1:14" s="20" customFormat="1" ht="24.6" customHeight="1">
      <c r="A29" s="19"/>
      <c r="B29" s="19"/>
      <c r="C29" s="19"/>
      <c r="D29" s="19"/>
      <c r="E29" s="143"/>
      <c r="F29" s="19"/>
      <c r="G29" s="143"/>
      <c r="H29" s="19"/>
      <c r="I29" s="19"/>
      <c r="J29" s="19"/>
      <c r="K29" s="19"/>
      <c r="L29" s="19"/>
      <c r="M29" s="19"/>
      <c r="N29" s="19"/>
    </row>
    <row r="30" spans="1:14" s="20" customFormat="1" ht="24.6" customHeight="1">
      <c r="A30" s="21"/>
      <c r="B30" s="21"/>
      <c r="C30" s="21"/>
      <c r="D30" s="21"/>
      <c r="E30" s="144"/>
      <c r="F30" s="21"/>
      <c r="G30" s="144"/>
      <c r="H30" s="21"/>
      <c r="I30" s="21"/>
      <c r="J30" s="21"/>
      <c r="K30" s="21"/>
      <c r="L30" s="21"/>
      <c r="M30" s="21"/>
      <c r="N30" s="21"/>
    </row>
    <row r="31" spans="1:14" s="20" customFormat="1" ht="24.6" customHeight="1">
      <c r="A31" s="21"/>
      <c r="B31" s="21"/>
      <c r="C31" s="21"/>
      <c r="D31" s="21"/>
      <c r="E31" s="144"/>
      <c r="F31" s="21"/>
      <c r="G31" s="144"/>
      <c r="H31" s="21"/>
      <c r="I31" s="21"/>
      <c r="J31" s="21"/>
      <c r="K31" s="21"/>
      <c r="L31" s="21"/>
      <c r="M31" s="21"/>
      <c r="N31" s="21"/>
    </row>
    <row r="32" spans="1:14" s="20" customFormat="1" ht="24.6" customHeight="1">
      <c r="A32" s="21"/>
      <c r="B32" s="21"/>
      <c r="C32" s="21"/>
      <c r="D32" s="21"/>
      <c r="E32" s="144"/>
      <c r="F32" s="21"/>
      <c r="G32" s="144"/>
      <c r="H32" s="21"/>
      <c r="I32" s="21"/>
      <c r="J32" s="21"/>
      <c r="K32" s="21"/>
      <c r="L32" s="21"/>
      <c r="M32" s="21"/>
      <c r="N32" s="21"/>
    </row>
    <row r="33" s="20" customFormat="1" ht="24.6" customHeight="1"/>
    <row r="34" s="20" customFormat="1" ht="24.6" customHeight="1"/>
    <row r="35" s="20" customFormat="1" ht="24.6" customHeight="1"/>
    <row r="36" s="20" customFormat="1" ht="24.6" customHeight="1"/>
    <row r="37" s="20" customFormat="1" ht="24.6" customHeight="1"/>
    <row r="38" s="20" customFormat="1" ht="24.6" customHeight="1"/>
    <row r="39" s="20" customFormat="1" ht="24.6" customHeight="1"/>
    <row r="40" s="20" customFormat="1" ht="24.6" customHeight="1"/>
    <row r="41" s="20" customFormat="1" ht="24.6" customHeight="1"/>
    <row r="42" s="20" customFormat="1" ht="24.6" customHeight="1"/>
    <row r="43" s="20" customFormat="1" ht="24.6" customHeight="1"/>
    <row r="44" s="20" customFormat="1" ht="24.6" customHeight="1"/>
    <row r="45" s="20" customFormat="1" ht="24.6" customHeight="1"/>
    <row r="46" s="20" customFormat="1" ht="24.6" customHeight="1"/>
    <row r="47" s="20" customFormat="1" ht="24.6" customHeight="1"/>
    <row r="48" s="20" customFormat="1" ht="24.6" customHeight="1"/>
    <row r="49" s="20" customFormat="1" ht="24.6" customHeight="1"/>
    <row r="50" s="20" customFormat="1" ht="24.6" customHeight="1"/>
  </sheetData>
  <mergeCells count="7">
    <mergeCell ref="A1:N1"/>
    <mergeCell ref="A3:A4"/>
    <mergeCell ref="B3:D3"/>
    <mergeCell ref="E3:G3"/>
    <mergeCell ref="H3:J3"/>
    <mergeCell ref="K3:M3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view="pageBreakPreview" zoomScaleSheetLayoutView="100" workbookViewId="0" topLeftCell="B67">
      <selection activeCell="M75" sqref="M75"/>
    </sheetView>
  </sheetViews>
  <sheetFormatPr defaultColWidth="9.140625" defaultRowHeight="15"/>
  <cols>
    <col min="1" max="1" width="4.140625" style="177" hidden="1" customWidth="1"/>
    <col min="2" max="2" width="4.140625" style="289" customWidth="1"/>
    <col min="3" max="3" width="7.140625" style="289" customWidth="1"/>
    <col min="4" max="4" width="3.421875" style="289" customWidth="1"/>
    <col min="5" max="5" width="10.57421875" style="51" customWidth="1"/>
    <col min="6" max="6" width="8.7109375" style="52" customWidth="1"/>
    <col min="7" max="7" width="3.8515625" style="177" hidden="1" customWidth="1"/>
    <col min="8" max="8" width="5.7109375" style="177" hidden="1" customWidth="1"/>
    <col min="9" max="9" width="8.57421875" style="177" hidden="1" customWidth="1"/>
    <col min="10" max="10" width="12.57421875" style="177" hidden="1" customWidth="1"/>
    <col min="11" max="11" width="8.57421875" style="177" hidden="1" customWidth="1"/>
    <col min="12" max="12" width="8.57421875" style="177" customWidth="1"/>
    <col min="13" max="13" width="18.8515625" style="268" customWidth="1"/>
    <col min="14" max="14" width="4.28125" style="177" customWidth="1"/>
    <col min="15" max="15" width="7.421875" style="177" customWidth="1"/>
    <col min="16" max="17" width="4.421875" style="177" customWidth="1"/>
    <col min="18" max="259" width="9.00390625" style="177" customWidth="1"/>
    <col min="260" max="260" width="9.140625" style="177" hidden="1" customWidth="1"/>
    <col min="261" max="261" width="4.140625" style="177" customWidth="1"/>
    <col min="262" max="262" width="7.140625" style="177" customWidth="1"/>
    <col min="263" max="263" width="3.421875" style="177" customWidth="1"/>
    <col min="264" max="264" width="11.140625" style="177" customWidth="1"/>
    <col min="265" max="265" width="8.7109375" style="177" customWidth="1"/>
    <col min="266" max="266" width="3.8515625" style="177" customWidth="1"/>
    <col min="267" max="267" width="5.7109375" style="177" customWidth="1"/>
    <col min="268" max="268" width="8.57421875" style="177" customWidth="1"/>
    <col min="269" max="269" width="18.8515625" style="177" customWidth="1"/>
    <col min="270" max="270" width="4.28125" style="177" customWidth="1"/>
    <col min="271" max="271" width="7.421875" style="177" customWidth="1"/>
    <col min="272" max="273" width="4.421875" style="177" customWidth="1"/>
    <col min="274" max="515" width="9.00390625" style="177" customWidth="1"/>
    <col min="516" max="516" width="9.140625" style="177" hidden="1" customWidth="1"/>
    <col min="517" max="517" width="4.140625" style="177" customWidth="1"/>
    <col min="518" max="518" width="7.140625" style="177" customWidth="1"/>
    <col min="519" max="519" width="3.421875" style="177" customWidth="1"/>
    <col min="520" max="520" width="11.140625" style="177" customWidth="1"/>
    <col min="521" max="521" width="8.7109375" style="177" customWidth="1"/>
    <col min="522" max="522" width="3.8515625" style="177" customWidth="1"/>
    <col min="523" max="523" width="5.7109375" style="177" customWidth="1"/>
    <col min="524" max="524" width="8.57421875" style="177" customWidth="1"/>
    <col min="525" max="525" width="18.8515625" style="177" customWidth="1"/>
    <col min="526" max="526" width="4.28125" style="177" customWidth="1"/>
    <col min="527" max="527" width="7.421875" style="177" customWidth="1"/>
    <col min="528" max="529" width="4.421875" style="177" customWidth="1"/>
    <col min="530" max="771" width="9.00390625" style="177" customWidth="1"/>
    <col min="772" max="772" width="9.140625" style="177" hidden="1" customWidth="1"/>
    <col min="773" max="773" width="4.140625" style="177" customWidth="1"/>
    <col min="774" max="774" width="7.140625" style="177" customWidth="1"/>
    <col min="775" max="775" width="3.421875" style="177" customWidth="1"/>
    <col min="776" max="776" width="11.140625" style="177" customWidth="1"/>
    <col min="777" max="777" width="8.7109375" style="177" customWidth="1"/>
    <col min="778" max="778" width="3.8515625" style="177" customWidth="1"/>
    <col min="779" max="779" width="5.7109375" style="177" customWidth="1"/>
    <col min="780" max="780" width="8.57421875" style="177" customWidth="1"/>
    <col min="781" max="781" width="18.8515625" style="177" customWidth="1"/>
    <col min="782" max="782" width="4.28125" style="177" customWidth="1"/>
    <col min="783" max="783" width="7.421875" style="177" customWidth="1"/>
    <col min="784" max="785" width="4.421875" style="177" customWidth="1"/>
    <col min="786" max="1027" width="9.00390625" style="177" customWidth="1"/>
    <col min="1028" max="1028" width="9.140625" style="177" hidden="1" customWidth="1"/>
    <col min="1029" max="1029" width="4.140625" style="177" customWidth="1"/>
    <col min="1030" max="1030" width="7.140625" style="177" customWidth="1"/>
    <col min="1031" max="1031" width="3.421875" style="177" customWidth="1"/>
    <col min="1032" max="1032" width="11.140625" style="177" customWidth="1"/>
    <col min="1033" max="1033" width="8.7109375" style="177" customWidth="1"/>
    <col min="1034" max="1034" width="3.8515625" style="177" customWidth="1"/>
    <col min="1035" max="1035" width="5.7109375" style="177" customWidth="1"/>
    <col min="1036" max="1036" width="8.57421875" style="177" customWidth="1"/>
    <col min="1037" max="1037" width="18.8515625" style="177" customWidth="1"/>
    <col min="1038" max="1038" width="4.28125" style="177" customWidth="1"/>
    <col min="1039" max="1039" width="7.421875" style="177" customWidth="1"/>
    <col min="1040" max="1041" width="4.421875" style="177" customWidth="1"/>
    <col min="1042" max="1283" width="9.00390625" style="177" customWidth="1"/>
    <col min="1284" max="1284" width="9.140625" style="177" hidden="1" customWidth="1"/>
    <col min="1285" max="1285" width="4.140625" style="177" customWidth="1"/>
    <col min="1286" max="1286" width="7.140625" style="177" customWidth="1"/>
    <col min="1287" max="1287" width="3.421875" style="177" customWidth="1"/>
    <col min="1288" max="1288" width="11.140625" style="177" customWidth="1"/>
    <col min="1289" max="1289" width="8.7109375" style="177" customWidth="1"/>
    <col min="1290" max="1290" width="3.8515625" style="177" customWidth="1"/>
    <col min="1291" max="1291" width="5.7109375" style="177" customWidth="1"/>
    <col min="1292" max="1292" width="8.57421875" style="177" customWidth="1"/>
    <col min="1293" max="1293" width="18.8515625" style="177" customWidth="1"/>
    <col min="1294" max="1294" width="4.28125" style="177" customWidth="1"/>
    <col min="1295" max="1295" width="7.421875" style="177" customWidth="1"/>
    <col min="1296" max="1297" width="4.421875" style="177" customWidth="1"/>
    <col min="1298" max="1539" width="9.00390625" style="177" customWidth="1"/>
    <col min="1540" max="1540" width="9.140625" style="177" hidden="1" customWidth="1"/>
    <col min="1541" max="1541" width="4.140625" style="177" customWidth="1"/>
    <col min="1542" max="1542" width="7.140625" style="177" customWidth="1"/>
    <col min="1543" max="1543" width="3.421875" style="177" customWidth="1"/>
    <col min="1544" max="1544" width="11.140625" style="177" customWidth="1"/>
    <col min="1545" max="1545" width="8.7109375" style="177" customWidth="1"/>
    <col min="1546" max="1546" width="3.8515625" style="177" customWidth="1"/>
    <col min="1547" max="1547" width="5.7109375" style="177" customWidth="1"/>
    <col min="1548" max="1548" width="8.57421875" style="177" customWidth="1"/>
    <col min="1549" max="1549" width="18.8515625" style="177" customWidth="1"/>
    <col min="1550" max="1550" width="4.28125" style="177" customWidth="1"/>
    <col min="1551" max="1551" width="7.421875" style="177" customWidth="1"/>
    <col min="1552" max="1553" width="4.421875" style="177" customWidth="1"/>
    <col min="1554" max="1795" width="9.00390625" style="177" customWidth="1"/>
    <col min="1796" max="1796" width="9.140625" style="177" hidden="1" customWidth="1"/>
    <col min="1797" max="1797" width="4.140625" style="177" customWidth="1"/>
    <col min="1798" max="1798" width="7.140625" style="177" customWidth="1"/>
    <col min="1799" max="1799" width="3.421875" style="177" customWidth="1"/>
    <col min="1800" max="1800" width="11.140625" style="177" customWidth="1"/>
    <col min="1801" max="1801" width="8.7109375" style="177" customWidth="1"/>
    <col min="1802" max="1802" width="3.8515625" style="177" customWidth="1"/>
    <col min="1803" max="1803" width="5.7109375" style="177" customWidth="1"/>
    <col min="1804" max="1804" width="8.57421875" style="177" customWidth="1"/>
    <col min="1805" max="1805" width="18.8515625" style="177" customWidth="1"/>
    <col min="1806" max="1806" width="4.28125" style="177" customWidth="1"/>
    <col min="1807" max="1807" width="7.421875" style="177" customWidth="1"/>
    <col min="1808" max="1809" width="4.421875" style="177" customWidth="1"/>
    <col min="1810" max="2051" width="9.00390625" style="177" customWidth="1"/>
    <col min="2052" max="2052" width="9.140625" style="177" hidden="1" customWidth="1"/>
    <col min="2053" max="2053" width="4.140625" style="177" customWidth="1"/>
    <col min="2054" max="2054" width="7.140625" style="177" customWidth="1"/>
    <col min="2055" max="2055" width="3.421875" style="177" customWidth="1"/>
    <col min="2056" max="2056" width="11.140625" style="177" customWidth="1"/>
    <col min="2057" max="2057" width="8.7109375" style="177" customWidth="1"/>
    <col min="2058" max="2058" width="3.8515625" style="177" customWidth="1"/>
    <col min="2059" max="2059" width="5.7109375" style="177" customWidth="1"/>
    <col min="2060" max="2060" width="8.57421875" style="177" customWidth="1"/>
    <col min="2061" max="2061" width="18.8515625" style="177" customWidth="1"/>
    <col min="2062" max="2062" width="4.28125" style="177" customWidth="1"/>
    <col min="2063" max="2063" width="7.421875" style="177" customWidth="1"/>
    <col min="2064" max="2065" width="4.421875" style="177" customWidth="1"/>
    <col min="2066" max="2307" width="9.00390625" style="177" customWidth="1"/>
    <col min="2308" max="2308" width="9.140625" style="177" hidden="1" customWidth="1"/>
    <col min="2309" max="2309" width="4.140625" style="177" customWidth="1"/>
    <col min="2310" max="2310" width="7.140625" style="177" customWidth="1"/>
    <col min="2311" max="2311" width="3.421875" style="177" customWidth="1"/>
    <col min="2312" max="2312" width="11.140625" style="177" customWidth="1"/>
    <col min="2313" max="2313" width="8.7109375" style="177" customWidth="1"/>
    <col min="2314" max="2314" width="3.8515625" style="177" customWidth="1"/>
    <col min="2315" max="2315" width="5.7109375" style="177" customWidth="1"/>
    <col min="2316" max="2316" width="8.57421875" style="177" customWidth="1"/>
    <col min="2317" max="2317" width="18.8515625" style="177" customWidth="1"/>
    <col min="2318" max="2318" width="4.28125" style="177" customWidth="1"/>
    <col min="2319" max="2319" width="7.421875" style="177" customWidth="1"/>
    <col min="2320" max="2321" width="4.421875" style="177" customWidth="1"/>
    <col min="2322" max="2563" width="9.00390625" style="177" customWidth="1"/>
    <col min="2564" max="2564" width="9.140625" style="177" hidden="1" customWidth="1"/>
    <col min="2565" max="2565" width="4.140625" style="177" customWidth="1"/>
    <col min="2566" max="2566" width="7.140625" style="177" customWidth="1"/>
    <col min="2567" max="2567" width="3.421875" style="177" customWidth="1"/>
    <col min="2568" max="2568" width="11.140625" style="177" customWidth="1"/>
    <col min="2569" max="2569" width="8.7109375" style="177" customWidth="1"/>
    <col min="2570" max="2570" width="3.8515625" style="177" customWidth="1"/>
    <col min="2571" max="2571" width="5.7109375" style="177" customWidth="1"/>
    <col min="2572" max="2572" width="8.57421875" style="177" customWidth="1"/>
    <col min="2573" max="2573" width="18.8515625" style="177" customWidth="1"/>
    <col min="2574" max="2574" width="4.28125" style="177" customWidth="1"/>
    <col min="2575" max="2575" width="7.421875" style="177" customWidth="1"/>
    <col min="2576" max="2577" width="4.421875" style="177" customWidth="1"/>
    <col min="2578" max="2819" width="9.00390625" style="177" customWidth="1"/>
    <col min="2820" max="2820" width="9.140625" style="177" hidden="1" customWidth="1"/>
    <col min="2821" max="2821" width="4.140625" style="177" customWidth="1"/>
    <col min="2822" max="2822" width="7.140625" style="177" customWidth="1"/>
    <col min="2823" max="2823" width="3.421875" style="177" customWidth="1"/>
    <col min="2824" max="2824" width="11.140625" style="177" customWidth="1"/>
    <col min="2825" max="2825" width="8.7109375" style="177" customWidth="1"/>
    <col min="2826" max="2826" width="3.8515625" style="177" customWidth="1"/>
    <col min="2827" max="2827" width="5.7109375" style="177" customWidth="1"/>
    <col min="2828" max="2828" width="8.57421875" style="177" customWidth="1"/>
    <col min="2829" max="2829" width="18.8515625" style="177" customWidth="1"/>
    <col min="2830" max="2830" width="4.28125" style="177" customWidth="1"/>
    <col min="2831" max="2831" width="7.421875" style="177" customWidth="1"/>
    <col min="2832" max="2833" width="4.421875" style="177" customWidth="1"/>
    <col min="2834" max="3075" width="9.00390625" style="177" customWidth="1"/>
    <col min="3076" max="3076" width="9.140625" style="177" hidden="1" customWidth="1"/>
    <col min="3077" max="3077" width="4.140625" style="177" customWidth="1"/>
    <col min="3078" max="3078" width="7.140625" style="177" customWidth="1"/>
    <col min="3079" max="3079" width="3.421875" style="177" customWidth="1"/>
    <col min="3080" max="3080" width="11.140625" style="177" customWidth="1"/>
    <col min="3081" max="3081" width="8.7109375" style="177" customWidth="1"/>
    <col min="3082" max="3082" width="3.8515625" style="177" customWidth="1"/>
    <col min="3083" max="3083" width="5.7109375" style="177" customWidth="1"/>
    <col min="3084" max="3084" width="8.57421875" style="177" customWidth="1"/>
    <col min="3085" max="3085" width="18.8515625" style="177" customWidth="1"/>
    <col min="3086" max="3086" width="4.28125" style="177" customWidth="1"/>
    <col min="3087" max="3087" width="7.421875" style="177" customWidth="1"/>
    <col min="3088" max="3089" width="4.421875" style="177" customWidth="1"/>
    <col min="3090" max="3331" width="9.00390625" style="177" customWidth="1"/>
    <col min="3332" max="3332" width="9.140625" style="177" hidden="1" customWidth="1"/>
    <col min="3333" max="3333" width="4.140625" style="177" customWidth="1"/>
    <col min="3334" max="3334" width="7.140625" style="177" customWidth="1"/>
    <col min="3335" max="3335" width="3.421875" style="177" customWidth="1"/>
    <col min="3336" max="3336" width="11.140625" style="177" customWidth="1"/>
    <col min="3337" max="3337" width="8.7109375" style="177" customWidth="1"/>
    <col min="3338" max="3338" width="3.8515625" style="177" customWidth="1"/>
    <col min="3339" max="3339" width="5.7109375" style="177" customWidth="1"/>
    <col min="3340" max="3340" width="8.57421875" style="177" customWidth="1"/>
    <col min="3341" max="3341" width="18.8515625" style="177" customWidth="1"/>
    <col min="3342" max="3342" width="4.28125" style="177" customWidth="1"/>
    <col min="3343" max="3343" width="7.421875" style="177" customWidth="1"/>
    <col min="3344" max="3345" width="4.421875" style="177" customWidth="1"/>
    <col min="3346" max="3587" width="9.00390625" style="177" customWidth="1"/>
    <col min="3588" max="3588" width="9.140625" style="177" hidden="1" customWidth="1"/>
    <col min="3589" max="3589" width="4.140625" style="177" customWidth="1"/>
    <col min="3590" max="3590" width="7.140625" style="177" customWidth="1"/>
    <col min="3591" max="3591" width="3.421875" style="177" customWidth="1"/>
    <col min="3592" max="3592" width="11.140625" style="177" customWidth="1"/>
    <col min="3593" max="3593" width="8.7109375" style="177" customWidth="1"/>
    <col min="3594" max="3594" width="3.8515625" style="177" customWidth="1"/>
    <col min="3595" max="3595" width="5.7109375" style="177" customWidth="1"/>
    <col min="3596" max="3596" width="8.57421875" style="177" customWidth="1"/>
    <col min="3597" max="3597" width="18.8515625" style="177" customWidth="1"/>
    <col min="3598" max="3598" width="4.28125" style="177" customWidth="1"/>
    <col min="3599" max="3599" width="7.421875" style="177" customWidth="1"/>
    <col min="3600" max="3601" width="4.421875" style="177" customWidth="1"/>
    <col min="3602" max="3843" width="9.00390625" style="177" customWidth="1"/>
    <col min="3844" max="3844" width="9.140625" style="177" hidden="1" customWidth="1"/>
    <col min="3845" max="3845" width="4.140625" style="177" customWidth="1"/>
    <col min="3846" max="3846" width="7.140625" style="177" customWidth="1"/>
    <col min="3847" max="3847" width="3.421875" style="177" customWidth="1"/>
    <col min="3848" max="3848" width="11.140625" style="177" customWidth="1"/>
    <col min="3849" max="3849" width="8.7109375" style="177" customWidth="1"/>
    <col min="3850" max="3850" width="3.8515625" style="177" customWidth="1"/>
    <col min="3851" max="3851" width="5.7109375" style="177" customWidth="1"/>
    <col min="3852" max="3852" width="8.57421875" style="177" customWidth="1"/>
    <col min="3853" max="3853" width="18.8515625" style="177" customWidth="1"/>
    <col min="3854" max="3854" width="4.28125" style="177" customWidth="1"/>
    <col min="3855" max="3855" width="7.421875" style="177" customWidth="1"/>
    <col min="3856" max="3857" width="4.421875" style="177" customWidth="1"/>
    <col min="3858" max="4099" width="9.00390625" style="177" customWidth="1"/>
    <col min="4100" max="4100" width="9.140625" style="177" hidden="1" customWidth="1"/>
    <col min="4101" max="4101" width="4.140625" style="177" customWidth="1"/>
    <col min="4102" max="4102" width="7.140625" style="177" customWidth="1"/>
    <col min="4103" max="4103" width="3.421875" style="177" customWidth="1"/>
    <col min="4104" max="4104" width="11.140625" style="177" customWidth="1"/>
    <col min="4105" max="4105" width="8.7109375" style="177" customWidth="1"/>
    <col min="4106" max="4106" width="3.8515625" style="177" customWidth="1"/>
    <col min="4107" max="4107" width="5.7109375" style="177" customWidth="1"/>
    <col min="4108" max="4108" width="8.57421875" style="177" customWidth="1"/>
    <col min="4109" max="4109" width="18.8515625" style="177" customWidth="1"/>
    <col min="4110" max="4110" width="4.28125" style="177" customWidth="1"/>
    <col min="4111" max="4111" width="7.421875" style="177" customWidth="1"/>
    <col min="4112" max="4113" width="4.421875" style="177" customWidth="1"/>
    <col min="4114" max="4355" width="9.00390625" style="177" customWidth="1"/>
    <col min="4356" max="4356" width="9.140625" style="177" hidden="1" customWidth="1"/>
    <col min="4357" max="4357" width="4.140625" style="177" customWidth="1"/>
    <col min="4358" max="4358" width="7.140625" style="177" customWidth="1"/>
    <col min="4359" max="4359" width="3.421875" style="177" customWidth="1"/>
    <col min="4360" max="4360" width="11.140625" style="177" customWidth="1"/>
    <col min="4361" max="4361" width="8.7109375" style="177" customWidth="1"/>
    <col min="4362" max="4362" width="3.8515625" style="177" customWidth="1"/>
    <col min="4363" max="4363" width="5.7109375" style="177" customWidth="1"/>
    <col min="4364" max="4364" width="8.57421875" style="177" customWidth="1"/>
    <col min="4365" max="4365" width="18.8515625" style="177" customWidth="1"/>
    <col min="4366" max="4366" width="4.28125" style="177" customWidth="1"/>
    <col min="4367" max="4367" width="7.421875" style="177" customWidth="1"/>
    <col min="4368" max="4369" width="4.421875" style="177" customWidth="1"/>
    <col min="4370" max="4611" width="9.00390625" style="177" customWidth="1"/>
    <col min="4612" max="4612" width="9.140625" style="177" hidden="1" customWidth="1"/>
    <col min="4613" max="4613" width="4.140625" style="177" customWidth="1"/>
    <col min="4614" max="4614" width="7.140625" style="177" customWidth="1"/>
    <col min="4615" max="4615" width="3.421875" style="177" customWidth="1"/>
    <col min="4616" max="4616" width="11.140625" style="177" customWidth="1"/>
    <col min="4617" max="4617" width="8.7109375" style="177" customWidth="1"/>
    <col min="4618" max="4618" width="3.8515625" style="177" customWidth="1"/>
    <col min="4619" max="4619" width="5.7109375" style="177" customWidth="1"/>
    <col min="4620" max="4620" width="8.57421875" style="177" customWidth="1"/>
    <col min="4621" max="4621" width="18.8515625" style="177" customWidth="1"/>
    <col min="4622" max="4622" width="4.28125" style="177" customWidth="1"/>
    <col min="4623" max="4623" width="7.421875" style="177" customWidth="1"/>
    <col min="4624" max="4625" width="4.421875" style="177" customWidth="1"/>
    <col min="4626" max="4867" width="9.00390625" style="177" customWidth="1"/>
    <col min="4868" max="4868" width="9.140625" style="177" hidden="1" customWidth="1"/>
    <col min="4869" max="4869" width="4.140625" style="177" customWidth="1"/>
    <col min="4870" max="4870" width="7.140625" style="177" customWidth="1"/>
    <col min="4871" max="4871" width="3.421875" style="177" customWidth="1"/>
    <col min="4872" max="4872" width="11.140625" style="177" customWidth="1"/>
    <col min="4873" max="4873" width="8.7109375" style="177" customWidth="1"/>
    <col min="4874" max="4874" width="3.8515625" style="177" customWidth="1"/>
    <col min="4875" max="4875" width="5.7109375" style="177" customWidth="1"/>
    <col min="4876" max="4876" width="8.57421875" style="177" customWidth="1"/>
    <col min="4877" max="4877" width="18.8515625" style="177" customWidth="1"/>
    <col min="4878" max="4878" width="4.28125" style="177" customWidth="1"/>
    <col min="4879" max="4879" width="7.421875" style="177" customWidth="1"/>
    <col min="4880" max="4881" width="4.421875" style="177" customWidth="1"/>
    <col min="4882" max="5123" width="9.00390625" style="177" customWidth="1"/>
    <col min="5124" max="5124" width="9.140625" style="177" hidden="1" customWidth="1"/>
    <col min="5125" max="5125" width="4.140625" style="177" customWidth="1"/>
    <col min="5126" max="5126" width="7.140625" style="177" customWidth="1"/>
    <col min="5127" max="5127" width="3.421875" style="177" customWidth="1"/>
    <col min="5128" max="5128" width="11.140625" style="177" customWidth="1"/>
    <col min="5129" max="5129" width="8.7109375" style="177" customWidth="1"/>
    <col min="5130" max="5130" width="3.8515625" style="177" customWidth="1"/>
    <col min="5131" max="5131" width="5.7109375" style="177" customWidth="1"/>
    <col min="5132" max="5132" width="8.57421875" style="177" customWidth="1"/>
    <col min="5133" max="5133" width="18.8515625" style="177" customWidth="1"/>
    <col min="5134" max="5134" width="4.28125" style="177" customWidth="1"/>
    <col min="5135" max="5135" width="7.421875" style="177" customWidth="1"/>
    <col min="5136" max="5137" width="4.421875" style="177" customWidth="1"/>
    <col min="5138" max="5379" width="9.00390625" style="177" customWidth="1"/>
    <col min="5380" max="5380" width="9.140625" style="177" hidden="1" customWidth="1"/>
    <col min="5381" max="5381" width="4.140625" style="177" customWidth="1"/>
    <col min="5382" max="5382" width="7.140625" style="177" customWidth="1"/>
    <col min="5383" max="5383" width="3.421875" style="177" customWidth="1"/>
    <col min="5384" max="5384" width="11.140625" style="177" customWidth="1"/>
    <col min="5385" max="5385" width="8.7109375" style="177" customWidth="1"/>
    <col min="5386" max="5386" width="3.8515625" style="177" customWidth="1"/>
    <col min="5387" max="5387" width="5.7109375" style="177" customWidth="1"/>
    <col min="5388" max="5388" width="8.57421875" style="177" customWidth="1"/>
    <col min="5389" max="5389" width="18.8515625" style="177" customWidth="1"/>
    <col min="5390" max="5390" width="4.28125" style="177" customWidth="1"/>
    <col min="5391" max="5391" width="7.421875" style="177" customWidth="1"/>
    <col min="5392" max="5393" width="4.421875" style="177" customWidth="1"/>
    <col min="5394" max="5635" width="9.00390625" style="177" customWidth="1"/>
    <col min="5636" max="5636" width="9.140625" style="177" hidden="1" customWidth="1"/>
    <col min="5637" max="5637" width="4.140625" style="177" customWidth="1"/>
    <col min="5638" max="5638" width="7.140625" style="177" customWidth="1"/>
    <col min="5639" max="5639" width="3.421875" style="177" customWidth="1"/>
    <col min="5640" max="5640" width="11.140625" style="177" customWidth="1"/>
    <col min="5641" max="5641" width="8.7109375" style="177" customWidth="1"/>
    <col min="5642" max="5642" width="3.8515625" style="177" customWidth="1"/>
    <col min="5643" max="5643" width="5.7109375" style="177" customWidth="1"/>
    <col min="5644" max="5644" width="8.57421875" style="177" customWidth="1"/>
    <col min="5645" max="5645" width="18.8515625" style="177" customWidth="1"/>
    <col min="5646" max="5646" width="4.28125" style="177" customWidth="1"/>
    <col min="5647" max="5647" width="7.421875" style="177" customWidth="1"/>
    <col min="5648" max="5649" width="4.421875" style="177" customWidth="1"/>
    <col min="5650" max="5891" width="9.00390625" style="177" customWidth="1"/>
    <col min="5892" max="5892" width="9.140625" style="177" hidden="1" customWidth="1"/>
    <col min="5893" max="5893" width="4.140625" style="177" customWidth="1"/>
    <col min="5894" max="5894" width="7.140625" style="177" customWidth="1"/>
    <col min="5895" max="5895" width="3.421875" style="177" customWidth="1"/>
    <col min="5896" max="5896" width="11.140625" style="177" customWidth="1"/>
    <col min="5897" max="5897" width="8.7109375" style="177" customWidth="1"/>
    <col min="5898" max="5898" width="3.8515625" style="177" customWidth="1"/>
    <col min="5899" max="5899" width="5.7109375" style="177" customWidth="1"/>
    <col min="5900" max="5900" width="8.57421875" style="177" customWidth="1"/>
    <col min="5901" max="5901" width="18.8515625" style="177" customWidth="1"/>
    <col min="5902" max="5902" width="4.28125" style="177" customWidth="1"/>
    <col min="5903" max="5903" width="7.421875" style="177" customWidth="1"/>
    <col min="5904" max="5905" width="4.421875" style="177" customWidth="1"/>
    <col min="5906" max="6147" width="9.00390625" style="177" customWidth="1"/>
    <col min="6148" max="6148" width="9.140625" style="177" hidden="1" customWidth="1"/>
    <col min="6149" max="6149" width="4.140625" style="177" customWidth="1"/>
    <col min="6150" max="6150" width="7.140625" style="177" customWidth="1"/>
    <col min="6151" max="6151" width="3.421875" style="177" customWidth="1"/>
    <col min="6152" max="6152" width="11.140625" style="177" customWidth="1"/>
    <col min="6153" max="6153" width="8.7109375" style="177" customWidth="1"/>
    <col min="6154" max="6154" width="3.8515625" style="177" customWidth="1"/>
    <col min="6155" max="6155" width="5.7109375" style="177" customWidth="1"/>
    <col min="6156" max="6156" width="8.57421875" style="177" customWidth="1"/>
    <col min="6157" max="6157" width="18.8515625" style="177" customWidth="1"/>
    <col min="6158" max="6158" width="4.28125" style="177" customWidth="1"/>
    <col min="6159" max="6159" width="7.421875" style="177" customWidth="1"/>
    <col min="6160" max="6161" width="4.421875" style="177" customWidth="1"/>
    <col min="6162" max="6403" width="9.00390625" style="177" customWidth="1"/>
    <col min="6404" max="6404" width="9.140625" style="177" hidden="1" customWidth="1"/>
    <col min="6405" max="6405" width="4.140625" style="177" customWidth="1"/>
    <col min="6406" max="6406" width="7.140625" style="177" customWidth="1"/>
    <col min="6407" max="6407" width="3.421875" style="177" customWidth="1"/>
    <col min="6408" max="6408" width="11.140625" style="177" customWidth="1"/>
    <col min="6409" max="6409" width="8.7109375" style="177" customWidth="1"/>
    <col min="6410" max="6410" width="3.8515625" style="177" customWidth="1"/>
    <col min="6411" max="6411" width="5.7109375" style="177" customWidth="1"/>
    <col min="6412" max="6412" width="8.57421875" style="177" customWidth="1"/>
    <col min="6413" max="6413" width="18.8515625" style="177" customWidth="1"/>
    <col min="6414" max="6414" width="4.28125" style="177" customWidth="1"/>
    <col min="6415" max="6415" width="7.421875" style="177" customWidth="1"/>
    <col min="6416" max="6417" width="4.421875" style="177" customWidth="1"/>
    <col min="6418" max="6659" width="9.00390625" style="177" customWidth="1"/>
    <col min="6660" max="6660" width="9.140625" style="177" hidden="1" customWidth="1"/>
    <col min="6661" max="6661" width="4.140625" style="177" customWidth="1"/>
    <col min="6662" max="6662" width="7.140625" style="177" customWidth="1"/>
    <col min="6663" max="6663" width="3.421875" style="177" customWidth="1"/>
    <col min="6664" max="6664" width="11.140625" style="177" customWidth="1"/>
    <col min="6665" max="6665" width="8.7109375" style="177" customWidth="1"/>
    <col min="6666" max="6666" width="3.8515625" style="177" customWidth="1"/>
    <col min="6667" max="6667" width="5.7109375" style="177" customWidth="1"/>
    <col min="6668" max="6668" width="8.57421875" style="177" customWidth="1"/>
    <col min="6669" max="6669" width="18.8515625" style="177" customWidth="1"/>
    <col min="6670" max="6670" width="4.28125" style="177" customWidth="1"/>
    <col min="6671" max="6671" width="7.421875" style="177" customWidth="1"/>
    <col min="6672" max="6673" width="4.421875" style="177" customWidth="1"/>
    <col min="6674" max="6915" width="9.00390625" style="177" customWidth="1"/>
    <col min="6916" max="6916" width="9.140625" style="177" hidden="1" customWidth="1"/>
    <col min="6917" max="6917" width="4.140625" style="177" customWidth="1"/>
    <col min="6918" max="6918" width="7.140625" style="177" customWidth="1"/>
    <col min="6919" max="6919" width="3.421875" style="177" customWidth="1"/>
    <col min="6920" max="6920" width="11.140625" style="177" customWidth="1"/>
    <col min="6921" max="6921" width="8.7109375" style="177" customWidth="1"/>
    <col min="6922" max="6922" width="3.8515625" style="177" customWidth="1"/>
    <col min="6923" max="6923" width="5.7109375" style="177" customWidth="1"/>
    <col min="6924" max="6924" width="8.57421875" style="177" customWidth="1"/>
    <col min="6925" max="6925" width="18.8515625" style="177" customWidth="1"/>
    <col min="6926" max="6926" width="4.28125" style="177" customWidth="1"/>
    <col min="6927" max="6927" width="7.421875" style="177" customWidth="1"/>
    <col min="6928" max="6929" width="4.421875" style="177" customWidth="1"/>
    <col min="6930" max="7171" width="9.00390625" style="177" customWidth="1"/>
    <col min="7172" max="7172" width="9.140625" style="177" hidden="1" customWidth="1"/>
    <col min="7173" max="7173" width="4.140625" style="177" customWidth="1"/>
    <col min="7174" max="7174" width="7.140625" style="177" customWidth="1"/>
    <col min="7175" max="7175" width="3.421875" style="177" customWidth="1"/>
    <col min="7176" max="7176" width="11.140625" style="177" customWidth="1"/>
    <col min="7177" max="7177" width="8.7109375" style="177" customWidth="1"/>
    <col min="7178" max="7178" width="3.8515625" style="177" customWidth="1"/>
    <col min="7179" max="7179" width="5.7109375" style="177" customWidth="1"/>
    <col min="7180" max="7180" width="8.57421875" style="177" customWidth="1"/>
    <col min="7181" max="7181" width="18.8515625" style="177" customWidth="1"/>
    <col min="7182" max="7182" width="4.28125" style="177" customWidth="1"/>
    <col min="7183" max="7183" width="7.421875" style="177" customWidth="1"/>
    <col min="7184" max="7185" width="4.421875" style="177" customWidth="1"/>
    <col min="7186" max="7427" width="9.00390625" style="177" customWidth="1"/>
    <col min="7428" max="7428" width="9.140625" style="177" hidden="1" customWidth="1"/>
    <col min="7429" max="7429" width="4.140625" style="177" customWidth="1"/>
    <col min="7430" max="7430" width="7.140625" style="177" customWidth="1"/>
    <col min="7431" max="7431" width="3.421875" style="177" customWidth="1"/>
    <col min="7432" max="7432" width="11.140625" style="177" customWidth="1"/>
    <col min="7433" max="7433" width="8.7109375" style="177" customWidth="1"/>
    <col min="7434" max="7434" width="3.8515625" style="177" customWidth="1"/>
    <col min="7435" max="7435" width="5.7109375" style="177" customWidth="1"/>
    <col min="7436" max="7436" width="8.57421875" style="177" customWidth="1"/>
    <col min="7437" max="7437" width="18.8515625" style="177" customWidth="1"/>
    <col min="7438" max="7438" width="4.28125" style="177" customWidth="1"/>
    <col min="7439" max="7439" width="7.421875" style="177" customWidth="1"/>
    <col min="7440" max="7441" width="4.421875" style="177" customWidth="1"/>
    <col min="7442" max="7683" width="9.00390625" style="177" customWidth="1"/>
    <col min="7684" max="7684" width="9.140625" style="177" hidden="1" customWidth="1"/>
    <col min="7685" max="7685" width="4.140625" style="177" customWidth="1"/>
    <col min="7686" max="7686" width="7.140625" style="177" customWidth="1"/>
    <col min="7687" max="7687" width="3.421875" style="177" customWidth="1"/>
    <col min="7688" max="7688" width="11.140625" style="177" customWidth="1"/>
    <col min="7689" max="7689" width="8.7109375" style="177" customWidth="1"/>
    <col min="7690" max="7690" width="3.8515625" style="177" customWidth="1"/>
    <col min="7691" max="7691" width="5.7109375" style="177" customWidth="1"/>
    <col min="7692" max="7692" width="8.57421875" style="177" customWidth="1"/>
    <col min="7693" max="7693" width="18.8515625" style="177" customWidth="1"/>
    <col min="7694" max="7694" width="4.28125" style="177" customWidth="1"/>
    <col min="7695" max="7695" width="7.421875" style="177" customWidth="1"/>
    <col min="7696" max="7697" width="4.421875" style="177" customWidth="1"/>
    <col min="7698" max="7939" width="9.00390625" style="177" customWidth="1"/>
    <col min="7940" max="7940" width="9.140625" style="177" hidden="1" customWidth="1"/>
    <col min="7941" max="7941" width="4.140625" style="177" customWidth="1"/>
    <col min="7942" max="7942" width="7.140625" style="177" customWidth="1"/>
    <col min="7943" max="7943" width="3.421875" style="177" customWidth="1"/>
    <col min="7944" max="7944" width="11.140625" style="177" customWidth="1"/>
    <col min="7945" max="7945" width="8.7109375" style="177" customWidth="1"/>
    <col min="7946" max="7946" width="3.8515625" style="177" customWidth="1"/>
    <col min="7947" max="7947" width="5.7109375" style="177" customWidth="1"/>
    <col min="7948" max="7948" width="8.57421875" style="177" customWidth="1"/>
    <col min="7949" max="7949" width="18.8515625" style="177" customWidth="1"/>
    <col min="7950" max="7950" width="4.28125" style="177" customWidth="1"/>
    <col min="7951" max="7951" width="7.421875" style="177" customWidth="1"/>
    <col min="7952" max="7953" width="4.421875" style="177" customWidth="1"/>
    <col min="7954" max="8195" width="9.00390625" style="177" customWidth="1"/>
    <col min="8196" max="8196" width="9.140625" style="177" hidden="1" customWidth="1"/>
    <col min="8197" max="8197" width="4.140625" style="177" customWidth="1"/>
    <col min="8198" max="8198" width="7.140625" style="177" customWidth="1"/>
    <col min="8199" max="8199" width="3.421875" style="177" customWidth="1"/>
    <col min="8200" max="8200" width="11.140625" style="177" customWidth="1"/>
    <col min="8201" max="8201" width="8.7109375" style="177" customWidth="1"/>
    <col min="8202" max="8202" width="3.8515625" style="177" customWidth="1"/>
    <col min="8203" max="8203" width="5.7109375" style="177" customWidth="1"/>
    <col min="8204" max="8204" width="8.57421875" style="177" customWidth="1"/>
    <col min="8205" max="8205" width="18.8515625" style="177" customWidth="1"/>
    <col min="8206" max="8206" width="4.28125" style="177" customWidth="1"/>
    <col min="8207" max="8207" width="7.421875" style="177" customWidth="1"/>
    <col min="8208" max="8209" width="4.421875" style="177" customWidth="1"/>
    <col min="8210" max="8451" width="9.00390625" style="177" customWidth="1"/>
    <col min="8452" max="8452" width="9.140625" style="177" hidden="1" customWidth="1"/>
    <col min="8453" max="8453" width="4.140625" style="177" customWidth="1"/>
    <col min="8454" max="8454" width="7.140625" style="177" customWidth="1"/>
    <col min="8455" max="8455" width="3.421875" style="177" customWidth="1"/>
    <col min="8456" max="8456" width="11.140625" style="177" customWidth="1"/>
    <col min="8457" max="8457" width="8.7109375" style="177" customWidth="1"/>
    <col min="8458" max="8458" width="3.8515625" style="177" customWidth="1"/>
    <col min="8459" max="8459" width="5.7109375" style="177" customWidth="1"/>
    <col min="8460" max="8460" width="8.57421875" style="177" customWidth="1"/>
    <col min="8461" max="8461" width="18.8515625" style="177" customWidth="1"/>
    <col min="8462" max="8462" width="4.28125" style="177" customWidth="1"/>
    <col min="8463" max="8463" width="7.421875" style="177" customWidth="1"/>
    <col min="8464" max="8465" width="4.421875" style="177" customWidth="1"/>
    <col min="8466" max="8707" width="9.00390625" style="177" customWidth="1"/>
    <col min="8708" max="8708" width="9.140625" style="177" hidden="1" customWidth="1"/>
    <col min="8709" max="8709" width="4.140625" style="177" customWidth="1"/>
    <col min="8710" max="8710" width="7.140625" style="177" customWidth="1"/>
    <col min="8711" max="8711" width="3.421875" style="177" customWidth="1"/>
    <col min="8712" max="8712" width="11.140625" style="177" customWidth="1"/>
    <col min="8713" max="8713" width="8.7109375" style="177" customWidth="1"/>
    <col min="8714" max="8714" width="3.8515625" style="177" customWidth="1"/>
    <col min="8715" max="8715" width="5.7109375" style="177" customWidth="1"/>
    <col min="8716" max="8716" width="8.57421875" style="177" customWidth="1"/>
    <col min="8717" max="8717" width="18.8515625" style="177" customWidth="1"/>
    <col min="8718" max="8718" width="4.28125" style="177" customWidth="1"/>
    <col min="8719" max="8719" width="7.421875" style="177" customWidth="1"/>
    <col min="8720" max="8721" width="4.421875" style="177" customWidth="1"/>
    <col min="8722" max="8963" width="9.00390625" style="177" customWidth="1"/>
    <col min="8964" max="8964" width="9.140625" style="177" hidden="1" customWidth="1"/>
    <col min="8965" max="8965" width="4.140625" style="177" customWidth="1"/>
    <col min="8966" max="8966" width="7.140625" style="177" customWidth="1"/>
    <col min="8967" max="8967" width="3.421875" style="177" customWidth="1"/>
    <col min="8968" max="8968" width="11.140625" style="177" customWidth="1"/>
    <col min="8969" max="8969" width="8.7109375" style="177" customWidth="1"/>
    <col min="8970" max="8970" width="3.8515625" style="177" customWidth="1"/>
    <col min="8971" max="8971" width="5.7109375" style="177" customWidth="1"/>
    <col min="8972" max="8972" width="8.57421875" style="177" customWidth="1"/>
    <col min="8973" max="8973" width="18.8515625" style="177" customWidth="1"/>
    <col min="8974" max="8974" width="4.28125" style="177" customWidth="1"/>
    <col min="8975" max="8975" width="7.421875" style="177" customWidth="1"/>
    <col min="8976" max="8977" width="4.421875" style="177" customWidth="1"/>
    <col min="8978" max="9219" width="9.00390625" style="177" customWidth="1"/>
    <col min="9220" max="9220" width="9.140625" style="177" hidden="1" customWidth="1"/>
    <col min="9221" max="9221" width="4.140625" style="177" customWidth="1"/>
    <col min="9222" max="9222" width="7.140625" style="177" customWidth="1"/>
    <col min="9223" max="9223" width="3.421875" style="177" customWidth="1"/>
    <col min="9224" max="9224" width="11.140625" style="177" customWidth="1"/>
    <col min="9225" max="9225" width="8.7109375" style="177" customWidth="1"/>
    <col min="9226" max="9226" width="3.8515625" style="177" customWidth="1"/>
    <col min="9227" max="9227" width="5.7109375" style="177" customWidth="1"/>
    <col min="9228" max="9228" width="8.57421875" style="177" customWidth="1"/>
    <col min="9229" max="9229" width="18.8515625" style="177" customWidth="1"/>
    <col min="9230" max="9230" width="4.28125" style="177" customWidth="1"/>
    <col min="9231" max="9231" width="7.421875" style="177" customWidth="1"/>
    <col min="9232" max="9233" width="4.421875" style="177" customWidth="1"/>
    <col min="9234" max="9475" width="9.00390625" style="177" customWidth="1"/>
    <col min="9476" max="9476" width="9.140625" style="177" hidden="1" customWidth="1"/>
    <col min="9477" max="9477" width="4.140625" style="177" customWidth="1"/>
    <col min="9478" max="9478" width="7.140625" style="177" customWidth="1"/>
    <col min="9479" max="9479" width="3.421875" style="177" customWidth="1"/>
    <col min="9480" max="9480" width="11.140625" style="177" customWidth="1"/>
    <col min="9481" max="9481" width="8.7109375" style="177" customWidth="1"/>
    <col min="9482" max="9482" width="3.8515625" style="177" customWidth="1"/>
    <col min="9483" max="9483" width="5.7109375" style="177" customWidth="1"/>
    <col min="9484" max="9484" width="8.57421875" style="177" customWidth="1"/>
    <col min="9485" max="9485" width="18.8515625" style="177" customWidth="1"/>
    <col min="9486" max="9486" width="4.28125" style="177" customWidth="1"/>
    <col min="9487" max="9487" width="7.421875" style="177" customWidth="1"/>
    <col min="9488" max="9489" width="4.421875" style="177" customWidth="1"/>
    <col min="9490" max="9731" width="9.00390625" style="177" customWidth="1"/>
    <col min="9732" max="9732" width="9.140625" style="177" hidden="1" customWidth="1"/>
    <col min="9733" max="9733" width="4.140625" style="177" customWidth="1"/>
    <col min="9734" max="9734" width="7.140625" style="177" customWidth="1"/>
    <col min="9735" max="9735" width="3.421875" style="177" customWidth="1"/>
    <col min="9736" max="9736" width="11.140625" style="177" customWidth="1"/>
    <col min="9737" max="9737" width="8.7109375" style="177" customWidth="1"/>
    <col min="9738" max="9738" width="3.8515625" style="177" customWidth="1"/>
    <col min="9739" max="9739" width="5.7109375" style="177" customWidth="1"/>
    <col min="9740" max="9740" width="8.57421875" style="177" customWidth="1"/>
    <col min="9741" max="9741" width="18.8515625" style="177" customWidth="1"/>
    <col min="9742" max="9742" width="4.28125" style="177" customWidth="1"/>
    <col min="9743" max="9743" width="7.421875" style="177" customWidth="1"/>
    <col min="9744" max="9745" width="4.421875" style="177" customWidth="1"/>
    <col min="9746" max="9987" width="9.00390625" style="177" customWidth="1"/>
    <col min="9988" max="9988" width="9.140625" style="177" hidden="1" customWidth="1"/>
    <col min="9989" max="9989" width="4.140625" style="177" customWidth="1"/>
    <col min="9990" max="9990" width="7.140625" style="177" customWidth="1"/>
    <col min="9991" max="9991" width="3.421875" style="177" customWidth="1"/>
    <col min="9992" max="9992" width="11.140625" style="177" customWidth="1"/>
    <col min="9993" max="9993" width="8.7109375" style="177" customWidth="1"/>
    <col min="9994" max="9994" width="3.8515625" style="177" customWidth="1"/>
    <col min="9995" max="9995" width="5.7109375" style="177" customWidth="1"/>
    <col min="9996" max="9996" width="8.57421875" style="177" customWidth="1"/>
    <col min="9997" max="9997" width="18.8515625" style="177" customWidth="1"/>
    <col min="9998" max="9998" width="4.28125" style="177" customWidth="1"/>
    <col min="9999" max="9999" width="7.421875" style="177" customWidth="1"/>
    <col min="10000" max="10001" width="4.421875" style="177" customWidth="1"/>
    <col min="10002" max="10243" width="9.00390625" style="177" customWidth="1"/>
    <col min="10244" max="10244" width="9.140625" style="177" hidden="1" customWidth="1"/>
    <col min="10245" max="10245" width="4.140625" style="177" customWidth="1"/>
    <col min="10246" max="10246" width="7.140625" style="177" customWidth="1"/>
    <col min="10247" max="10247" width="3.421875" style="177" customWidth="1"/>
    <col min="10248" max="10248" width="11.140625" style="177" customWidth="1"/>
    <col min="10249" max="10249" width="8.7109375" style="177" customWidth="1"/>
    <col min="10250" max="10250" width="3.8515625" style="177" customWidth="1"/>
    <col min="10251" max="10251" width="5.7109375" style="177" customWidth="1"/>
    <col min="10252" max="10252" width="8.57421875" style="177" customWidth="1"/>
    <col min="10253" max="10253" width="18.8515625" style="177" customWidth="1"/>
    <col min="10254" max="10254" width="4.28125" style="177" customWidth="1"/>
    <col min="10255" max="10255" width="7.421875" style="177" customWidth="1"/>
    <col min="10256" max="10257" width="4.421875" style="177" customWidth="1"/>
    <col min="10258" max="10499" width="9.00390625" style="177" customWidth="1"/>
    <col min="10500" max="10500" width="9.140625" style="177" hidden="1" customWidth="1"/>
    <col min="10501" max="10501" width="4.140625" style="177" customWidth="1"/>
    <col min="10502" max="10502" width="7.140625" style="177" customWidth="1"/>
    <col min="10503" max="10503" width="3.421875" style="177" customWidth="1"/>
    <col min="10504" max="10504" width="11.140625" style="177" customWidth="1"/>
    <col min="10505" max="10505" width="8.7109375" style="177" customWidth="1"/>
    <col min="10506" max="10506" width="3.8515625" style="177" customWidth="1"/>
    <col min="10507" max="10507" width="5.7109375" style="177" customWidth="1"/>
    <col min="10508" max="10508" width="8.57421875" style="177" customWidth="1"/>
    <col min="10509" max="10509" width="18.8515625" style="177" customWidth="1"/>
    <col min="10510" max="10510" width="4.28125" style="177" customWidth="1"/>
    <col min="10511" max="10511" width="7.421875" style="177" customWidth="1"/>
    <col min="10512" max="10513" width="4.421875" style="177" customWidth="1"/>
    <col min="10514" max="10755" width="9.00390625" style="177" customWidth="1"/>
    <col min="10756" max="10756" width="9.140625" style="177" hidden="1" customWidth="1"/>
    <col min="10757" max="10757" width="4.140625" style="177" customWidth="1"/>
    <col min="10758" max="10758" width="7.140625" style="177" customWidth="1"/>
    <col min="10759" max="10759" width="3.421875" style="177" customWidth="1"/>
    <col min="10760" max="10760" width="11.140625" style="177" customWidth="1"/>
    <col min="10761" max="10761" width="8.7109375" style="177" customWidth="1"/>
    <col min="10762" max="10762" width="3.8515625" style="177" customWidth="1"/>
    <col min="10763" max="10763" width="5.7109375" style="177" customWidth="1"/>
    <col min="10764" max="10764" width="8.57421875" style="177" customWidth="1"/>
    <col min="10765" max="10765" width="18.8515625" style="177" customWidth="1"/>
    <col min="10766" max="10766" width="4.28125" style="177" customWidth="1"/>
    <col min="10767" max="10767" width="7.421875" style="177" customWidth="1"/>
    <col min="10768" max="10769" width="4.421875" style="177" customWidth="1"/>
    <col min="10770" max="11011" width="9.00390625" style="177" customWidth="1"/>
    <col min="11012" max="11012" width="9.140625" style="177" hidden="1" customWidth="1"/>
    <col min="11013" max="11013" width="4.140625" style="177" customWidth="1"/>
    <col min="11014" max="11014" width="7.140625" style="177" customWidth="1"/>
    <col min="11015" max="11015" width="3.421875" style="177" customWidth="1"/>
    <col min="11016" max="11016" width="11.140625" style="177" customWidth="1"/>
    <col min="11017" max="11017" width="8.7109375" style="177" customWidth="1"/>
    <col min="11018" max="11018" width="3.8515625" style="177" customWidth="1"/>
    <col min="11019" max="11019" width="5.7109375" style="177" customWidth="1"/>
    <col min="11020" max="11020" width="8.57421875" style="177" customWidth="1"/>
    <col min="11021" max="11021" width="18.8515625" style="177" customWidth="1"/>
    <col min="11022" max="11022" width="4.28125" style="177" customWidth="1"/>
    <col min="11023" max="11023" width="7.421875" style="177" customWidth="1"/>
    <col min="11024" max="11025" width="4.421875" style="177" customWidth="1"/>
    <col min="11026" max="11267" width="9.00390625" style="177" customWidth="1"/>
    <col min="11268" max="11268" width="9.140625" style="177" hidden="1" customWidth="1"/>
    <col min="11269" max="11269" width="4.140625" style="177" customWidth="1"/>
    <col min="11270" max="11270" width="7.140625" style="177" customWidth="1"/>
    <col min="11271" max="11271" width="3.421875" style="177" customWidth="1"/>
    <col min="11272" max="11272" width="11.140625" style="177" customWidth="1"/>
    <col min="11273" max="11273" width="8.7109375" style="177" customWidth="1"/>
    <col min="11274" max="11274" width="3.8515625" style="177" customWidth="1"/>
    <col min="11275" max="11275" width="5.7109375" style="177" customWidth="1"/>
    <col min="11276" max="11276" width="8.57421875" style="177" customWidth="1"/>
    <col min="11277" max="11277" width="18.8515625" style="177" customWidth="1"/>
    <col min="11278" max="11278" width="4.28125" style="177" customWidth="1"/>
    <col min="11279" max="11279" width="7.421875" style="177" customWidth="1"/>
    <col min="11280" max="11281" width="4.421875" style="177" customWidth="1"/>
    <col min="11282" max="11523" width="9.00390625" style="177" customWidth="1"/>
    <col min="11524" max="11524" width="9.140625" style="177" hidden="1" customWidth="1"/>
    <col min="11525" max="11525" width="4.140625" style="177" customWidth="1"/>
    <col min="11526" max="11526" width="7.140625" style="177" customWidth="1"/>
    <col min="11527" max="11527" width="3.421875" style="177" customWidth="1"/>
    <col min="11528" max="11528" width="11.140625" style="177" customWidth="1"/>
    <col min="11529" max="11529" width="8.7109375" style="177" customWidth="1"/>
    <col min="11530" max="11530" width="3.8515625" style="177" customWidth="1"/>
    <col min="11531" max="11531" width="5.7109375" style="177" customWidth="1"/>
    <col min="11532" max="11532" width="8.57421875" style="177" customWidth="1"/>
    <col min="11533" max="11533" width="18.8515625" style="177" customWidth="1"/>
    <col min="11534" max="11534" width="4.28125" style="177" customWidth="1"/>
    <col min="11535" max="11535" width="7.421875" style="177" customWidth="1"/>
    <col min="11536" max="11537" width="4.421875" style="177" customWidth="1"/>
    <col min="11538" max="11779" width="9.00390625" style="177" customWidth="1"/>
    <col min="11780" max="11780" width="9.140625" style="177" hidden="1" customWidth="1"/>
    <col min="11781" max="11781" width="4.140625" style="177" customWidth="1"/>
    <col min="11782" max="11782" width="7.140625" style="177" customWidth="1"/>
    <col min="11783" max="11783" width="3.421875" style="177" customWidth="1"/>
    <col min="11784" max="11784" width="11.140625" style="177" customWidth="1"/>
    <col min="11785" max="11785" width="8.7109375" style="177" customWidth="1"/>
    <col min="11786" max="11786" width="3.8515625" style="177" customWidth="1"/>
    <col min="11787" max="11787" width="5.7109375" style="177" customWidth="1"/>
    <col min="11788" max="11788" width="8.57421875" style="177" customWidth="1"/>
    <col min="11789" max="11789" width="18.8515625" style="177" customWidth="1"/>
    <col min="11790" max="11790" width="4.28125" style="177" customWidth="1"/>
    <col min="11791" max="11791" width="7.421875" style="177" customWidth="1"/>
    <col min="11792" max="11793" width="4.421875" style="177" customWidth="1"/>
    <col min="11794" max="12035" width="9.00390625" style="177" customWidth="1"/>
    <col min="12036" max="12036" width="9.140625" style="177" hidden="1" customWidth="1"/>
    <col min="12037" max="12037" width="4.140625" style="177" customWidth="1"/>
    <col min="12038" max="12038" width="7.140625" style="177" customWidth="1"/>
    <col min="12039" max="12039" width="3.421875" style="177" customWidth="1"/>
    <col min="12040" max="12040" width="11.140625" style="177" customWidth="1"/>
    <col min="12041" max="12041" width="8.7109375" style="177" customWidth="1"/>
    <col min="12042" max="12042" width="3.8515625" style="177" customWidth="1"/>
    <col min="12043" max="12043" width="5.7109375" style="177" customWidth="1"/>
    <col min="12044" max="12044" width="8.57421875" style="177" customWidth="1"/>
    <col min="12045" max="12045" width="18.8515625" style="177" customWidth="1"/>
    <col min="12046" max="12046" width="4.28125" style="177" customWidth="1"/>
    <col min="12047" max="12047" width="7.421875" style="177" customWidth="1"/>
    <col min="12048" max="12049" width="4.421875" style="177" customWidth="1"/>
    <col min="12050" max="12291" width="9.00390625" style="177" customWidth="1"/>
    <col min="12292" max="12292" width="9.140625" style="177" hidden="1" customWidth="1"/>
    <col min="12293" max="12293" width="4.140625" style="177" customWidth="1"/>
    <col min="12294" max="12294" width="7.140625" style="177" customWidth="1"/>
    <col min="12295" max="12295" width="3.421875" style="177" customWidth="1"/>
    <col min="12296" max="12296" width="11.140625" style="177" customWidth="1"/>
    <col min="12297" max="12297" width="8.7109375" style="177" customWidth="1"/>
    <col min="12298" max="12298" width="3.8515625" style="177" customWidth="1"/>
    <col min="12299" max="12299" width="5.7109375" style="177" customWidth="1"/>
    <col min="12300" max="12300" width="8.57421875" style="177" customWidth="1"/>
    <col min="12301" max="12301" width="18.8515625" style="177" customWidth="1"/>
    <col min="12302" max="12302" width="4.28125" style="177" customWidth="1"/>
    <col min="12303" max="12303" width="7.421875" style="177" customWidth="1"/>
    <col min="12304" max="12305" width="4.421875" style="177" customWidth="1"/>
    <col min="12306" max="12547" width="9.00390625" style="177" customWidth="1"/>
    <col min="12548" max="12548" width="9.140625" style="177" hidden="1" customWidth="1"/>
    <col min="12549" max="12549" width="4.140625" style="177" customWidth="1"/>
    <col min="12550" max="12550" width="7.140625" style="177" customWidth="1"/>
    <col min="12551" max="12551" width="3.421875" style="177" customWidth="1"/>
    <col min="12552" max="12552" width="11.140625" style="177" customWidth="1"/>
    <col min="12553" max="12553" width="8.7109375" style="177" customWidth="1"/>
    <col min="12554" max="12554" width="3.8515625" style="177" customWidth="1"/>
    <col min="12555" max="12555" width="5.7109375" style="177" customWidth="1"/>
    <col min="12556" max="12556" width="8.57421875" style="177" customWidth="1"/>
    <col min="12557" max="12557" width="18.8515625" style="177" customWidth="1"/>
    <col min="12558" max="12558" width="4.28125" style="177" customWidth="1"/>
    <col min="12559" max="12559" width="7.421875" style="177" customWidth="1"/>
    <col min="12560" max="12561" width="4.421875" style="177" customWidth="1"/>
    <col min="12562" max="12803" width="9.00390625" style="177" customWidth="1"/>
    <col min="12804" max="12804" width="9.140625" style="177" hidden="1" customWidth="1"/>
    <col min="12805" max="12805" width="4.140625" style="177" customWidth="1"/>
    <col min="12806" max="12806" width="7.140625" style="177" customWidth="1"/>
    <col min="12807" max="12807" width="3.421875" style="177" customWidth="1"/>
    <col min="12808" max="12808" width="11.140625" style="177" customWidth="1"/>
    <col min="12809" max="12809" width="8.7109375" style="177" customWidth="1"/>
    <col min="12810" max="12810" width="3.8515625" style="177" customWidth="1"/>
    <col min="12811" max="12811" width="5.7109375" style="177" customWidth="1"/>
    <col min="12812" max="12812" width="8.57421875" style="177" customWidth="1"/>
    <col min="12813" max="12813" width="18.8515625" style="177" customWidth="1"/>
    <col min="12814" max="12814" width="4.28125" style="177" customWidth="1"/>
    <col min="12815" max="12815" width="7.421875" style="177" customWidth="1"/>
    <col min="12816" max="12817" width="4.421875" style="177" customWidth="1"/>
    <col min="12818" max="13059" width="9.00390625" style="177" customWidth="1"/>
    <col min="13060" max="13060" width="9.140625" style="177" hidden="1" customWidth="1"/>
    <col min="13061" max="13061" width="4.140625" style="177" customWidth="1"/>
    <col min="13062" max="13062" width="7.140625" style="177" customWidth="1"/>
    <col min="13063" max="13063" width="3.421875" style="177" customWidth="1"/>
    <col min="13064" max="13064" width="11.140625" style="177" customWidth="1"/>
    <col min="13065" max="13065" width="8.7109375" style="177" customWidth="1"/>
    <col min="13066" max="13066" width="3.8515625" style="177" customWidth="1"/>
    <col min="13067" max="13067" width="5.7109375" style="177" customWidth="1"/>
    <col min="13068" max="13068" width="8.57421875" style="177" customWidth="1"/>
    <col min="13069" max="13069" width="18.8515625" style="177" customWidth="1"/>
    <col min="13070" max="13070" width="4.28125" style="177" customWidth="1"/>
    <col min="13071" max="13071" width="7.421875" style="177" customWidth="1"/>
    <col min="13072" max="13073" width="4.421875" style="177" customWidth="1"/>
    <col min="13074" max="13315" width="9.00390625" style="177" customWidth="1"/>
    <col min="13316" max="13316" width="9.140625" style="177" hidden="1" customWidth="1"/>
    <col min="13317" max="13317" width="4.140625" style="177" customWidth="1"/>
    <col min="13318" max="13318" width="7.140625" style="177" customWidth="1"/>
    <col min="13319" max="13319" width="3.421875" style="177" customWidth="1"/>
    <col min="13320" max="13320" width="11.140625" style="177" customWidth="1"/>
    <col min="13321" max="13321" width="8.7109375" style="177" customWidth="1"/>
    <col min="13322" max="13322" width="3.8515625" style="177" customWidth="1"/>
    <col min="13323" max="13323" width="5.7109375" style="177" customWidth="1"/>
    <col min="13324" max="13324" width="8.57421875" style="177" customWidth="1"/>
    <col min="13325" max="13325" width="18.8515625" style="177" customWidth="1"/>
    <col min="13326" max="13326" width="4.28125" style="177" customWidth="1"/>
    <col min="13327" max="13327" width="7.421875" style="177" customWidth="1"/>
    <col min="13328" max="13329" width="4.421875" style="177" customWidth="1"/>
    <col min="13330" max="13571" width="9.00390625" style="177" customWidth="1"/>
    <col min="13572" max="13572" width="9.140625" style="177" hidden="1" customWidth="1"/>
    <col min="13573" max="13573" width="4.140625" style="177" customWidth="1"/>
    <col min="13574" max="13574" width="7.140625" style="177" customWidth="1"/>
    <col min="13575" max="13575" width="3.421875" style="177" customWidth="1"/>
    <col min="13576" max="13576" width="11.140625" style="177" customWidth="1"/>
    <col min="13577" max="13577" width="8.7109375" style="177" customWidth="1"/>
    <col min="13578" max="13578" width="3.8515625" style="177" customWidth="1"/>
    <col min="13579" max="13579" width="5.7109375" style="177" customWidth="1"/>
    <col min="13580" max="13580" width="8.57421875" style="177" customWidth="1"/>
    <col min="13581" max="13581" width="18.8515625" style="177" customWidth="1"/>
    <col min="13582" max="13582" width="4.28125" style="177" customWidth="1"/>
    <col min="13583" max="13583" width="7.421875" style="177" customWidth="1"/>
    <col min="13584" max="13585" width="4.421875" style="177" customWidth="1"/>
    <col min="13586" max="13827" width="9.00390625" style="177" customWidth="1"/>
    <col min="13828" max="13828" width="9.140625" style="177" hidden="1" customWidth="1"/>
    <col min="13829" max="13829" width="4.140625" style="177" customWidth="1"/>
    <col min="13830" max="13830" width="7.140625" style="177" customWidth="1"/>
    <col min="13831" max="13831" width="3.421875" style="177" customWidth="1"/>
    <col min="13832" max="13832" width="11.140625" style="177" customWidth="1"/>
    <col min="13833" max="13833" width="8.7109375" style="177" customWidth="1"/>
    <col min="13834" max="13834" width="3.8515625" style="177" customWidth="1"/>
    <col min="13835" max="13835" width="5.7109375" style="177" customWidth="1"/>
    <col min="13836" max="13836" width="8.57421875" style="177" customWidth="1"/>
    <col min="13837" max="13837" width="18.8515625" style="177" customWidth="1"/>
    <col min="13838" max="13838" width="4.28125" style="177" customWidth="1"/>
    <col min="13839" max="13839" width="7.421875" style="177" customWidth="1"/>
    <col min="13840" max="13841" width="4.421875" style="177" customWidth="1"/>
    <col min="13842" max="14083" width="9.00390625" style="177" customWidth="1"/>
    <col min="14084" max="14084" width="9.140625" style="177" hidden="1" customWidth="1"/>
    <col min="14085" max="14085" width="4.140625" style="177" customWidth="1"/>
    <col min="14086" max="14086" width="7.140625" style="177" customWidth="1"/>
    <col min="14087" max="14087" width="3.421875" style="177" customWidth="1"/>
    <col min="14088" max="14088" width="11.140625" style="177" customWidth="1"/>
    <col min="14089" max="14089" width="8.7109375" style="177" customWidth="1"/>
    <col min="14090" max="14090" width="3.8515625" style="177" customWidth="1"/>
    <col min="14091" max="14091" width="5.7109375" style="177" customWidth="1"/>
    <col min="14092" max="14092" width="8.57421875" style="177" customWidth="1"/>
    <col min="14093" max="14093" width="18.8515625" style="177" customWidth="1"/>
    <col min="14094" max="14094" width="4.28125" style="177" customWidth="1"/>
    <col min="14095" max="14095" width="7.421875" style="177" customWidth="1"/>
    <col min="14096" max="14097" width="4.421875" style="177" customWidth="1"/>
    <col min="14098" max="14339" width="9.00390625" style="177" customWidth="1"/>
    <col min="14340" max="14340" width="9.140625" style="177" hidden="1" customWidth="1"/>
    <col min="14341" max="14341" width="4.140625" style="177" customWidth="1"/>
    <col min="14342" max="14342" width="7.140625" style="177" customWidth="1"/>
    <col min="14343" max="14343" width="3.421875" style="177" customWidth="1"/>
    <col min="14344" max="14344" width="11.140625" style="177" customWidth="1"/>
    <col min="14345" max="14345" width="8.7109375" style="177" customWidth="1"/>
    <col min="14346" max="14346" width="3.8515625" style="177" customWidth="1"/>
    <col min="14347" max="14347" width="5.7109375" style="177" customWidth="1"/>
    <col min="14348" max="14348" width="8.57421875" style="177" customWidth="1"/>
    <col min="14349" max="14349" width="18.8515625" style="177" customWidth="1"/>
    <col min="14350" max="14350" width="4.28125" style="177" customWidth="1"/>
    <col min="14351" max="14351" width="7.421875" style="177" customWidth="1"/>
    <col min="14352" max="14353" width="4.421875" style="177" customWidth="1"/>
    <col min="14354" max="14595" width="9.00390625" style="177" customWidth="1"/>
    <col min="14596" max="14596" width="9.140625" style="177" hidden="1" customWidth="1"/>
    <col min="14597" max="14597" width="4.140625" style="177" customWidth="1"/>
    <col min="14598" max="14598" width="7.140625" style="177" customWidth="1"/>
    <col min="14599" max="14599" width="3.421875" style="177" customWidth="1"/>
    <col min="14600" max="14600" width="11.140625" style="177" customWidth="1"/>
    <col min="14601" max="14601" width="8.7109375" style="177" customWidth="1"/>
    <col min="14602" max="14602" width="3.8515625" style="177" customWidth="1"/>
    <col min="14603" max="14603" width="5.7109375" style="177" customWidth="1"/>
    <col min="14604" max="14604" width="8.57421875" style="177" customWidth="1"/>
    <col min="14605" max="14605" width="18.8515625" style="177" customWidth="1"/>
    <col min="14606" max="14606" width="4.28125" style="177" customWidth="1"/>
    <col min="14607" max="14607" width="7.421875" style="177" customWidth="1"/>
    <col min="14608" max="14609" width="4.421875" style="177" customWidth="1"/>
    <col min="14610" max="14851" width="9.00390625" style="177" customWidth="1"/>
    <col min="14852" max="14852" width="9.140625" style="177" hidden="1" customWidth="1"/>
    <col min="14853" max="14853" width="4.140625" style="177" customWidth="1"/>
    <col min="14854" max="14854" width="7.140625" style="177" customWidth="1"/>
    <col min="14855" max="14855" width="3.421875" style="177" customWidth="1"/>
    <col min="14856" max="14856" width="11.140625" style="177" customWidth="1"/>
    <col min="14857" max="14857" width="8.7109375" style="177" customWidth="1"/>
    <col min="14858" max="14858" width="3.8515625" style="177" customWidth="1"/>
    <col min="14859" max="14859" width="5.7109375" style="177" customWidth="1"/>
    <col min="14860" max="14860" width="8.57421875" style="177" customWidth="1"/>
    <col min="14861" max="14861" width="18.8515625" style="177" customWidth="1"/>
    <col min="14862" max="14862" width="4.28125" style="177" customWidth="1"/>
    <col min="14863" max="14863" width="7.421875" style="177" customWidth="1"/>
    <col min="14864" max="14865" width="4.421875" style="177" customWidth="1"/>
    <col min="14866" max="15107" width="9.00390625" style="177" customWidth="1"/>
    <col min="15108" max="15108" width="9.140625" style="177" hidden="1" customWidth="1"/>
    <col min="15109" max="15109" width="4.140625" style="177" customWidth="1"/>
    <col min="15110" max="15110" width="7.140625" style="177" customWidth="1"/>
    <col min="15111" max="15111" width="3.421875" style="177" customWidth="1"/>
    <col min="15112" max="15112" width="11.140625" style="177" customWidth="1"/>
    <col min="15113" max="15113" width="8.7109375" style="177" customWidth="1"/>
    <col min="15114" max="15114" width="3.8515625" style="177" customWidth="1"/>
    <col min="15115" max="15115" width="5.7109375" style="177" customWidth="1"/>
    <col min="15116" max="15116" width="8.57421875" style="177" customWidth="1"/>
    <col min="15117" max="15117" width="18.8515625" style="177" customWidth="1"/>
    <col min="15118" max="15118" width="4.28125" style="177" customWidth="1"/>
    <col min="15119" max="15119" width="7.421875" style="177" customWidth="1"/>
    <col min="15120" max="15121" width="4.421875" style="177" customWidth="1"/>
    <col min="15122" max="15363" width="9.00390625" style="177" customWidth="1"/>
    <col min="15364" max="15364" width="9.140625" style="177" hidden="1" customWidth="1"/>
    <col min="15365" max="15365" width="4.140625" style="177" customWidth="1"/>
    <col min="15366" max="15366" width="7.140625" style="177" customWidth="1"/>
    <col min="15367" max="15367" width="3.421875" style="177" customWidth="1"/>
    <col min="15368" max="15368" width="11.140625" style="177" customWidth="1"/>
    <col min="15369" max="15369" width="8.7109375" style="177" customWidth="1"/>
    <col min="15370" max="15370" width="3.8515625" style="177" customWidth="1"/>
    <col min="15371" max="15371" width="5.7109375" style="177" customWidth="1"/>
    <col min="15372" max="15372" width="8.57421875" style="177" customWidth="1"/>
    <col min="15373" max="15373" width="18.8515625" style="177" customWidth="1"/>
    <col min="15374" max="15374" width="4.28125" style="177" customWidth="1"/>
    <col min="15375" max="15375" width="7.421875" style="177" customWidth="1"/>
    <col min="15376" max="15377" width="4.421875" style="177" customWidth="1"/>
    <col min="15378" max="15619" width="9.00390625" style="177" customWidth="1"/>
    <col min="15620" max="15620" width="9.140625" style="177" hidden="1" customWidth="1"/>
    <col min="15621" max="15621" width="4.140625" style="177" customWidth="1"/>
    <col min="15622" max="15622" width="7.140625" style="177" customWidth="1"/>
    <col min="15623" max="15623" width="3.421875" style="177" customWidth="1"/>
    <col min="15624" max="15624" width="11.140625" style="177" customWidth="1"/>
    <col min="15625" max="15625" width="8.7109375" style="177" customWidth="1"/>
    <col min="15626" max="15626" width="3.8515625" style="177" customWidth="1"/>
    <col min="15627" max="15627" width="5.7109375" style="177" customWidth="1"/>
    <col min="15628" max="15628" width="8.57421875" style="177" customWidth="1"/>
    <col min="15629" max="15629" width="18.8515625" style="177" customWidth="1"/>
    <col min="15630" max="15630" width="4.28125" style="177" customWidth="1"/>
    <col min="15631" max="15631" width="7.421875" style="177" customWidth="1"/>
    <col min="15632" max="15633" width="4.421875" style="177" customWidth="1"/>
    <col min="15634" max="15875" width="9.00390625" style="177" customWidth="1"/>
    <col min="15876" max="15876" width="9.140625" style="177" hidden="1" customWidth="1"/>
    <col min="15877" max="15877" width="4.140625" style="177" customWidth="1"/>
    <col min="15878" max="15878" width="7.140625" style="177" customWidth="1"/>
    <col min="15879" max="15879" width="3.421875" style="177" customWidth="1"/>
    <col min="15880" max="15880" width="11.140625" style="177" customWidth="1"/>
    <col min="15881" max="15881" width="8.7109375" style="177" customWidth="1"/>
    <col min="15882" max="15882" width="3.8515625" style="177" customWidth="1"/>
    <col min="15883" max="15883" width="5.7109375" style="177" customWidth="1"/>
    <col min="15884" max="15884" width="8.57421875" style="177" customWidth="1"/>
    <col min="15885" max="15885" width="18.8515625" style="177" customWidth="1"/>
    <col min="15886" max="15886" width="4.28125" style="177" customWidth="1"/>
    <col min="15887" max="15887" width="7.421875" style="177" customWidth="1"/>
    <col min="15888" max="15889" width="4.421875" style="177" customWidth="1"/>
    <col min="15890" max="16131" width="9.00390625" style="177" customWidth="1"/>
    <col min="16132" max="16132" width="9.140625" style="177" hidden="1" customWidth="1"/>
    <col min="16133" max="16133" width="4.140625" style="177" customWidth="1"/>
    <col min="16134" max="16134" width="7.140625" style="177" customWidth="1"/>
    <col min="16135" max="16135" width="3.421875" style="177" customWidth="1"/>
    <col min="16136" max="16136" width="11.140625" style="177" customWidth="1"/>
    <col min="16137" max="16137" width="8.7109375" style="177" customWidth="1"/>
    <col min="16138" max="16138" width="3.8515625" style="177" customWidth="1"/>
    <col min="16139" max="16139" width="5.7109375" style="177" customWidth="1"/>
    <col min="16140" max="16140" width="8.57421875" style="177" customWidth="1"/>
    <col min="16141" max="16141" width="18.8515625" style="177" customWidth="1"/>
    <col min="16142" max="16142" width="4.28125" style="177" customWidth="1"/>
    <col min="16143" max="16143" width="7.421875" style="177" customWidth="1"/>
    <col min="16144" max="16145" width="4.421875" style="177" customWidth="1"/>
    <col min="16146" max="16384" width="9.00390625" style="177" customWidth="1"/>
  </cols>
  <sheetData>
    <row r="1" spans="2:17" s="165" customFormat="1" ht="70.5" customHeight="1">
      <c r="B1" s="22" t="s">
        <v>20</v>
      </c>
      <c r="C1" s="166"/>
      <c r="D1" s="166"/>
      <c r="E1" s="23"/>
      <c r="F1" s="23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s="165" customFormat="1" ht="15.75" customHeight="1" thickBot="1">
      <c r="A2" s="24"/>
      <c r="B2" s="25"/>
      <c r="C2" s="25"/>
      <c r="D2" s="25"/>
      <c r="E2" s="26"/>
      <c r="F2" s="27"/>
      <c r="G2" s="167"/>
      <c r="H2" s="167"/>
      <c r="I2" s="167"/>
      <c r="J2" s="167"/>
      <c r="K2" s="167"/>
      <c r="L2" s="167"/>
      <c r="M2" s="168"/>
      <c r="N2" s="301" t="s">
        <v>81</v>
      </c>
      <c r="O2" s="301"/>
      <c r="P2" s="301"/>
      <c r="Q2" s="301"/>
    </row>
    <row r="3" spans="1:17" s="34" customFormat="1" ht="27" customHeight="1">
      <c r="A3" s="28" t="s">
        <v>21</v>
      </c>
      <c r="B3" s="29" t="s">
        <v>22</v>
      </c>
      <c r="C3" s="302" t="s">
        <v>23</v>
      </c>
      <c r="D3" s="302" t="s">
        <v>24</v>
      </c>
      <c r="E3" s="30" t="s">
        <v>25</v>
      </c>
      <c r="F3" s="30" t="s">
        <v>26</v>
      </c>
      <c r="G3" s="304" t="s">
        <v>27</v>
      </c>
      <c r="H3" s="305"/>
      <c r="I3" s="302" t="s">
        <v>62</v>
      </c>
      <c r="J3" s="302" t="s">
        <v>64</v>
      </c>
      <c r="K3" s="302" t="s">
        <v>63</v>
      </c>
      <c r="L3" s="304" t="s">
        <v>28</v>
      </c>
      <c r="M3" s="305"/>
      <c r="N3" s="31" t="s">
        <v>29</v>
      </c>
      <c r="O3" s="32"/>
      <c r="P3" s="33"/>
      <c r="Q3" s="307" t="s">
        <v>30</v>
      </c>
    </row>
    <row r="4" spans="1:22" s="34" customFormat="1" ht="27" customHeight="1">
      <c r="A4" s="28" t="s">
        <v>31</v>
      </c>
      <c r="B4" s="155" t="s">
        <v>32</v>
      </c>
      <c r="C4" s="303"/>
      <c r="D4" s="303"/>
      <c r="E4" s="35" t="s">
        <v>33</v>
      </c>
      <c r="F4" s="35" t="s">
        <v>33</v>
      </c>
      <c r="G4" s="158" t="s">
        <v>34</v>
      </c>
      <c r="H4" s="158" t="s">
        <v>35</v>
      </c>
      <c r="I4" s="306"/>
      <c r="J4" s="306"/>
      <c r="K4" s="306"/>
      <c r="L4" s="158" t="s">
        <v>36</v>
      </c>
      <c r="M4" s="158" t="s">
        <v>37</v>
      </c>
      <c r="N4" s="158" t="s">
        <v>36</v>
      </c>
      <c r="O4" s="158" t="s">
        <v>37</v>
      </c>
      <c r="P4" s="158" t="s">
        <v>38</v>
      </c>
      <c r="Q4" s="308"/>
      <c r="S4" s="300" t="s">
        <v>69</v>
      </c>
      <c r="T4" s="300"/>
      <c r="U4" s="162" t="s">
        <v>70</v>
      </c>
      <c r="V4" s="162" t="s">
        <v>71</v>
      </c>
    </row>
    <row r="5" spans="1:22" s="39" customFormat="1" ht="27" customHeight="1">
      <c r="A5" s="160" t="s">
        <v>141</v>
      </c>
      <c r="B5" s="156">
        <v>1</v>
      </c>
      <c r="C5" s="37" t="s">
        <v>83</v>
      </c>
      <c r="D5" s="160" t="s">
        <v>82</v>
      </c>
      <c r="E5" s="151">
        <v>57</v>
      </c>
      <c r="F5" s="151">
        <v>5</v>
      </c>
      <c r="G5" s="36"/>
      <c r="H5" s="159"/>
      <c r="I5" s="159">
        <v>164000</v>
      </c>
      <c r="J5" s="36">
        <f aca="true" t="shared" si="0" ref="J5:J11">I5*F5</f>
        <v>820000</v>
      </c>
      <c r="K5" s="159"/>
      <c r="L5" s="160" t="s">
        <v>158</v>
      </c>
      <c r="M5" s="158" t="s">
        <v>159</v>
      </c>
      <c r="N5" s="40"/>
      <c r="O5" s="41"/>
      <c r="P5" s="158"/>
      <c r="Q5" s="42"/>
      <c r="S5" s="162" t="s">
        <v>151</v>
      </c>
      <c r="T5" s="162"/>
      <c r="U5" s="36"/>
      <c r="V5" s="36"/>
    </row>
    <row r="6" spans="1:22" s="39" customFormat="1" ht="27" customHeight="1">
      <c r="A6" s="160" t="s">
        <v>141</v>
      </c>
      <c r="B6" s="156">
        <f>B5+1</f>
        <v>2</v>
      </c>
      <c r="C6" s="37" t="s">
        <v>84</v>
      </c>
      <c r="D6" s="160" t="s">
        <v>82</v>
      </c>
      <c r="E6" s="151">
        <v>1</v>
      </c>
      <c r="F6" s="151">
        <v>1</v>
      </c>
      <c r="G6" s="36"/>
      <c r="H6" s="36" t="s">
        <v>133</v>
      </c>
      <c r="I6" s="36">
        <v>164000</v>
      </c>
      <c r="J6" s="36">
        <f t="shared" si="0"/>
        <v>164000</v>
      </c>
      <c r="K6" s="159"/>
      <c r="L6" s="160"/>
      <c r="M6" s="160" t="s">
        <v>132</v>
      </c>
      <c r="N6" s="158"/>
      <c r="O6" s="158"/>
      <c r="P6" s="158"/>
      <c r="Q6" s="38"/>
      <c r="S6" s="162" t="s">
        <v>151</v>
      </c>
      <c r="T6" s="162"/>
      <c r="U6" s="159"/>
      <c r="V6" s="159"/>
    </row>
    <row r="7" spans="1:22" s="39" customFormat="1" ht="27" customHeight="1">
      <c r="A7" s="160" t="s">
        <v>142</v>
      </c>
      <c r="B7" s="156">
        <f aca="true" t="shared" si="1" ref="B7:B24">B6+1</f>
        <v>3</v>
      </c>
      <c r="C7" s="37" t="s">
        <v>85</v>
      </c>
      <c r="D7" s="160" t="s">
        <v>82</v>
      </c>
      <c r="E7" s="151">
        <v>383</v>
      </c>
      <c r="F7" s="151">
        <v>383</v>
      </c>
      <c r="G7" s="36"/>
      <c r="H7" s="36" t="s">
        <v>133</v>
      </c>
      <c r="I7" s="36">
        <v>170000</v>
      </c>
      <c r="J7" s="36">
        <f t="shared" si="0"/>
        <v>65110000</v>
      </c>
      <c r="K7" s="159"/>
      <c r="L7" s="160" t="s">
        <v>134</v>
      </c>
      <c r="M7" s="161" t="s">
        <v>135</v>
      </c>
      <c r="N7" s="40"/>
      <c r="O7" s="41"/>
      <c r="P7" s="158"/>
      <c r="Q7" s="42"/>
      <c r="R7" s="157"/>
      <c r="S7" s="162"/>
      <c r="T7" s="162"/>
      <c r="U7" s="159"/>
      <c r="V7" s="159"/>
    </row>
    <row r="8" spans="1:22" s="39" customFormat="1" ht="27" customHeight="1">
      <c r="A8" s="160" t="s">
        <v>141</v>
      </c>
      <c r="B8" s="156">
        <f t="shared" si="1"/>
        <v>4</v>
      </c>
      <c r="C8" s="37" t="s">
        <v>86</v>
      </c>
      <c r="D8" s="160" t="s">
        <v>82</v>
      </c>
      <c r="E8" s="151">
        <v>1036</v>
      </c>
      <c r="F8" s="151">
        <v>147</v>
      </c>
      <c r="G8" s="36"/>
      <c r="H8" s="36"/>
      <c r="I8" s="36">
        <v>170000</v>
      </c>
      <c r="J8" s="36">
        <f t="shared" si="0"/>
        <v>24990000</v>
      </c>
      <c r="K8" s="36"/>
      <c r="L8" s="160" t="s">
        <v>134</v>
      </c>
      <c r="M8" s="161" t="s">
        <v>135</v>
      </c>
      <c r="N8" s="158"/>
      <c r="O8" s="43"/>
      <c r="P8" s="43"/>
      <c r="Q8" s="38"/>
      <c r="R8" s="157"/>
      <c r="S8" s="162" t="s">
        <v>151</v>
      </c>
      <c r="T8" s="162"/>
      <c r="U8" s="159"/>
      <c r="V8" s="159"/>
    </row>
    <row r="9" spans="1:22" s="39" customFormat="1" ht="27" customHeight="1">
      <c r="A9" s="160" t="s">
        <v>142</v>
      </c>
      <c r="B9" s="156">
        <f t="shared" si="1"/>
        <v>5</v>
      </c>
      <c r="C9" s="37" t="s">
        <v>87</v>
      </c>
      <c r="D9" s="160" t="s">
        <v>88</v>
      </c>
      <c r="E9" s="151">
        <v>310</v>
      </c>
      <c r="F9" s="151">
        <v>310</v>
      </c>
      <c r="G9" s="36"/>
      <c r="H9" s="36" t="s">
        <v>133</v>
      </c>
      <c r="I9" s="36">
        <v>141000</v>
      </c>
      <c r="J9" s="36">
        <f t="shared" si="0"/>
        <v>43710000</v>
      </c>
      <c r="K9" s="159"/>
      <c r="L9" s="160" t="s">
        <v>134</v>
      </c>
      <c r="M9" s="161" t="s">
        <v>135</v>
      </c>
      <c r="N9" s="158"/>
      <c r="O9" s="43"/>
      <c r="P9" s="43"/>
      <c r="Q9" s="38"/>
      <c r="S9" s="162" t="s">
        <v>151</v>
      </c>
      <c r="T9" s="162"/>
      <c r="U9" s="159"/>
      <c r="V9" s="159"/>
    </row>
    <row r="10" spans="1:22" s="39" customFormat="1" ht="27" customHeight="1">
      <c r="A10" s="160" t="s">
        <v>142</v>
      </c>
      <c r="B10" s="156">
        <f t="shared" si="1"/>
        <v>6</v>
      </c>
      <c r="C10" s="37" t="s">
        <v>89</v>
      </c>
      <c r="D10" s="160" t="s">
        <v>88</v>
      </c>
      <c r="E10" s="151">
        <v>2113</v>
      </c>
      <c r="F10" s="151">
        <v>392</v>
      </c>
      <c r="G10" s="36"/>
      <c r="H10" s="36"/>
      <c r="I10" s="36">
        <v>141000</v>
      </c>
      <c r="J10" s="36">
        <f t="shared" si="0"/>
        <v>55272000</v>
      </c>
      <c r="K10" s="36"/>
      <c r="L10" s="160" t="s">
        <v>134</v>
      </c>
      <c r="M10" s="161" t="s">
        <v>135</v>
      </c>
      <c r="N10" s="44"/>
      <c r="O10" s="45"/>
      <c r="P10" s="44"/>
      <c r="Q10" s="169"/>
      <c r="S10" s="162"/>
      <c r="T10" s="162"/>
      <c r="U10" s="159"/>
      <c r="V10" s="36"/>
    </row>
    <row r="11" spans="1:22" s="39" customFormat="1" ht="27" customHeight="1">
      <c r="A11" s="160" t="s">
        <v>143</v>
      </c>
      <c r="B11" s="156">
        <f t="shared" si="1"/>
        <v>7</v>
      </c>
      <c r="C11" s="37" t="s">
        <v>90</v>
      </c>
      <c r="D11" s="160" t="s">
        <v>88</v>
      </c>
      <c r="E11" s="151">
        <v>20</v>
      </c>
      <c r="F11" s="151">
        <v>20</v>
      </c>
      <c r="G11" s="36"/>
      <c r="H11" s="36" t="s">
        <v>133</v>
      </c>
      <c r="I11" s="36">
        <v>138000</v>
      </c>
      <c r="J11" s="36">
        <f t="shared" si="0"/>
        <v>2760000</v>
      </c>
      <c r="K11" s="36"/>
      <c r="L11" s="160" t="s">
        <v>136</v>
      </c>
      <c r="M11" s="161" t="s">
        <v>137</v>
      </c>
      <c r="N11" s="44"/>
      <c r="O11" s="45"/>
      <c r="P11" s="44"/>
      <c r="Q11" s="169"/>
      <c r="S11" s="162" t="s">
        <v>151</v>
      </c>
      <c r="T11" s="162"/>
      <c r="U11" s="159"/>
      <c r="V11" s="159"/>
    </row>
    <row r="12" spans="1:22" s="39" customFormat="1" ht="27" customHeight="1">
      <c r="A12" s="160" t="s">
        <v>143</v>
      </c>
      <c r="B12" s="156">
        <f t="shared" si="1"/>
        <v>8</v>
      </c>
      <c r="C12" s="37" t="s">
        <v>91</v>
      </c>
      <c r="D12" s="160" t="s">
        <v>101</v>
      </c>
      <c r="E12" s="151">
        <v>307</v>
      </c>
      <c r="F12" s="151">
        <v>75</v>
      </c>
      <c r="G12" s="36"/>
      <c r="H12" s="36"/>
      <c r="I12" s="36"/>
      <c r="J12" s="36"/>
      <c r="K12" s="36"/>
      <c r="L12" s="160"/>
      <c r="M12" s="160" t="s">
        <v>138</v>
      </c>
      <c r="N12" s="44"/>
      <c r="O12" s="45"/>
      <c r="P12" s="44"/>
      <c r="Q12" s="169"/>
      <c r="S12" s="162"/>
      <c r="T12" s="162"/>
      <c r="U12" s="159"/>
      <c r="V12" s="36"/>
    </row>
    <row r="13" spans="1:22" s="39" customFormat="1" ht="27" customHeight="1">
      <c r="A13" s="160" t="s">
        <v>143</v>
      </c>
      <c r="B13" s="156">
        <f t="shared" si="1"/>
        <v>9</v>
      </c>
      <c r="C13" s="37" t="s">
        <v>92</v>
      </c>
      <c r="D13" s="160" t="s">
        <v>88</v>
      </c>
      <c r="E13" s="151">
        <v>241</v>
      </c>
      <c r="F13" s="151">
        <v>241</v>
      </c>
      <c r="G13" s="36"/>
      <c r="H13" s="36" t="s">
        <v>133</v>
      </c>
      <c r="I13" s="36">
        <v>143000</v>
      </c>
      <c r="J13" s="36"/>
      <c r="K13" s="36"/>
      <c r="L13" s="160"/>
      <c r="M13" s="141" t="s">
        <v>132</v>
      </c>
      <c r="N13" s="158"/>
      <c r="O13" s="43"/>
      <c r="P13" s="43"/>
      <c r="Q13" s="38"/>
      <c r="S13" s="162"/>
      <c r="T13" s="162"/>
      <c r="U13" s="159"/>
      <c r="V13" s="36"/>
    </row>
    <row r="14" spans="1:22" s="39" customFormat="1" ht="27" customHeight="1">
      <c r="A14" s="160" t="s">
        <v>144</v>
      </c>
      <c r="B14" s="156">
        <f t="shared" si="1"/>
        <v>10</v>
      </c>
      <c r="C14" s="37" t="s">
        <v>93</v>
      </c>
      <c r="D14" s="160" t="s">
        <v>88</v>
      </c>
      <c r="E14" s="151">
        <v>694</v>
      </c>
      <c r="F14" s="151">
        <v>482</v>
      </c>
      <c r="G14" s="36"/>
      <c r="H14" s="36"/>
      <c r="I14" s="36">
        <v>143000</v>
      </c>
      <c r="J14" s="36">
        <f aca="true" t="shared" si="2" ref="J14">I14*F14</f>
        <v>68926000</v>
      </c>
      <c r="K14" s="36"/>
      <c r="L14" s="160" t="s">
        <v>139</v>
      </c>
      <c r="M14" s="160">
        <v>278</v>
      </c>
      <c r="N14" s="158"/>
      <c r="O14" s="43"/>
      <c r="P14" s="43"/>
      <c r="Q14" s="38"/>
      <c r="S14" s="162" t="s">
        <v>151</v>
      </c>
      <c r="T14" s="162"/>
      <c r="U14" s="159"/>
      <c r="V14" s="36"/>
    </row>
    <row r="15" spans="1:22" s="39" customFormat="1" ht="27" customHeight="1">
      <c r="A15" s="160" t="s">
        <v>145</v>
      </c>
      <c r="B15" s="156">
        <f t="shared" si="1"/>
        <v>11</v>
      </c>
      <c r="C15" s="37" t="s">
        <v>94</v>
      </c>
      <c r="D15" s="160" t="s">
        <v>102</v>
      </c>
      <c r="E15" s="151">
        <v>247173</v>
      </c>
      <c r="F15" s="151">
        <v>6242</v>
      </c>
      <c r="G15" s="36"/>
      <c r="H15" s="36"/>
      <c r="I15" s="36"/>
      <c r="J15" s="36"/>
      <c r="K15" s="36" t="s">
        <v>153</v>
      </c>
      <c r="L15" s="160"/>
      <c r="M15" s="160" t="s">
        <v>140</v>
      </c>
      <c r="N15" s="158"/>
      <c r="O15" s="43"/>
      <c r="P15" s="43"/>
      <c r="Q15" s="42"/>
      <c r="S15" s="162" t="s">
        <v>151</v>
      </c>
      <c r="T15" s="162"/>
      <c r="U15" s="159"/>
      <c r="V15" s="36"/>
    </row>
    <row r="16" spans="1:22" s="39" customFormat="1" ht="27" customHeight="1">
      <c r="A16" s="160" t="s">
        <v>143</v>
      </c>
      <c r="B16" s="156">
        <f t="shared" si="1"/>
        <v>12</v>
      </c>
      <c r="C16" s="37" t="s">
        <v>95</v>
      </c>
      <c r="D16" s="160" t="s">
        <v>103</v>
      </c>
      <c r="E16" s="151">
        <v>90</v>
      </c>
      <c r="F16" s="151">
        <v>32</v>
      </c>
      <c r="G16" s="36"/>
      <c r="H16" s="36"/>
      <c r="I16" s="36">
        <v>216000</v>
      </c>
      <c r="J16" s="36"/>
      <c r="K16" s="36"/>
      <c r="L16" s="160"/>
      <c r="M16" s="160" t="s">
        <v>140</v>
      </c>
      <c r="N16" s="158"/>
      <c r="O16" s="43"/>
      <c r="P16" s="43"/>
      <c r="Q16" s="38"/>
      <c r="S16" s="162"/>
      <c r="T16" s="162"/>
      <c r="U16" s="159"/>
      <c r="V16" s="36"/>
    </row>
    <row r="17" spans="1:22" s="46" customFormat="1" ht="27" customHeight="1">
      <c r="A17" s="160" t="s">
        <v>72</v>
      </c>
      <c r="B17" s="156">
        <f t="shared" si="1"/>
        <v>13</v>
      </c>
      <c r="C17" s="37" t="s">
        <v>96</v>
      </c>
      <c r="D17" s="160" t="s">
        <v>103</v>
      </c>
      <c r="E17" s="151">
        <v>974</v>
      </c>
      <c r="F17" s="151">
        <v>299</v>
      </c>
      <c r="G17" s="36"/>
      <c r="H17" s="36"/>
      <c r="I17" s="36">
        <v>196000</v>
      </c>
      <c r="J17" s="36"/>
      <c r="K17" s="36"/>
      <c r="L17" s="160"/>
      <c r="M17" s="160" t="s">
        <v>140</v>
      </c>
      <c r="N17" s="158"/>
      <c r="O17" s="43"/>
      <c r="P17" s="43"/>
      <c r="Q17" s="38"/>
      <c r="S17" s="162" t="s">
        <v>152</v>
      </c>
      <c r="T17" s="162" t="s">
        <v>151</v>
      </c>
      <c r="U17" s="159" t="s">
        <v>156</v>
      </c>
      <c r="V17" s="36" t="s">
        <v>153</v>
      </c>
    </row>
    <row r="18" spans="1:22" s="39" customFormat="1" ht="27" customHeight="1">
      <c r="A18" s="160" t="s">
        <v>146</v>
      </c>
      <c r="B18" s="156">
        <f t="shared" si="1"/>
        <v>14</v>
      </c>
      <c r="C18" s="37" t="s">
        <v>97</v>
      </c>
      <c r="D18" s="160" t="s">
        <v>103</v>
      </c>
      <c r="E18" s="151">
        <v>605</v>
      </c>
      <c r="F18" s="151">
        <v>605</v>
      </c>
      <c r="G18" s="36"/>
      <c r="H18" s="36" t="s">
        <v>133</v>
      </c>
      <c r="I18" s="36">
        <v>196000</v>
      </c>
      <c r="J18" s="36"/>
      <c r="K18" s="36"/>
      <c r="L18" s="160"/>
      <c r="M18" s="160" t="s">
        <v>140</v>
      </c>
      <c r="N18" s="158"/>
      <c r="O18" s="43"/>
      <c r="P18" s="43"/>
      <c r="Q18" s="38"/>
      <c r="S18" s="162"/>
      <c r="T18" s="162"/>
      <c r="U18" s="159"/>
      <c r="V18" s="36"/>
    </row>
    <row r="19" spans="1:22" s="39" customFormat="1" ht="27" customHeight="1">
      <c r="A19" s="160" t="s">
        <v>146</v>
      </c>
      <c r="B19" s="156">
        <f t="shared" si="1"/>
        <v>15</v>
      </c>
      <c r="C19" s="37" t="s">
        <v>98</v>
      </c>
      <c r="D19" s="160" t="s">
        <v>103</v>
      </c>
      <c r="E19" s="151">
        <v>1448</v>
      </c>
      <c r="F19" s="151">
        <v>113</v>
      </c>
      <c r="G19" s="36"/>
      <c r="H19" s="36"/>
      <c r="I19" s="36"/>
      <c r="J19" s="36"/>
      <c r="K19" s="36"/>
      <c r="L19" s="160"/>
      <c r="M19" s="160" t="s">
        <v>140</v>
      </c>
      <c r="N19" s="158"/>
      <c r="O19" s="43"/>
      <c r="P19" s="43"/>
      <c r="Q19" s="38"/>
      <c r="S19" s="162"/>
      <c r="T19" s="162"/>
      <c r="U19" s="159"/>
      <c r="V19" s="36"/>
    </row>
    <row r="20" spans="1:22" s="39" customFormat="1" ht="27" customHeight="1">
      <c r="A20" s="160" t="s">
        <v>146</v>
      </c>
      <c r="B20" s="156">
        <f t="shared" si="1"/>
        <v>16</v>
      </c>
      <c r="C20" s="37" t="s">
        <v>99</v>
      </c>
      <c r="D20" s="160" t="s">
        <v>103</v>
      </c>
      <c r="E20" s="151">
        <v>7513</v>
      </c>
      <c r="F20" s="151">
        <v>1496</v>
      </c>
      <c r="G20" s="36"/>
      <c r="H20" s="36"/>
      <c r="I20" s="36">
        <v>53000</v>
      </c>
      <c r="J20" s="36"/>
      <c r="K20" s="36"/>
      <c r="L20" s="160"/>
      <c r="M20" s="160" t="s">
        <v>140</v>
      </c>
      <c r="N20" s="44"/>
      <c r="O20" s="154"/>
      <c r="P20" s="43"/>
      <c r="Q20" s="170"/>
      <c r="S20" s="162"/>
      <c r="T20" s="162"/>
      <c r="U20" s="159"/>
      <c r="V20" s="36"/>
    </row>
    <row r="21" spans="1:22" s="39" customFormat="1" ht="27" customHeight="1">
      <c r="A21" s="160" t="s">
        <v>146</v>
      </c>
      <c r="B21" s="156">
        <f t="shared" si="1"/>
        <v>17</v>
      </c>
      <c r="C21" s="37" t="s">
        <v>100</v>
      </c>
      <c r="D21" s="160" t="s">
        <v>103</v>
      </c>
      <c r="E21" s="151">
        <v>7211</v>
      </c>
      <c r="F21" s="151">
        <v>658</v>
      </c>
      <c r="G21" s="36"/>
      <c r="H21" s="36"/>
      <c r="I21" s="36">
        <v>52900</v>
      </c>
      <c r="J21" s="36"/>
      <c r="K21" s="36"/>
      <c r="L21" s="160"/>
      <c r="M21" s="160" t="s">
        <v>140</v>
      </c>
      <c r="N21" s="44"/>
      <c r="O21" s="45"/>
      <c r="P21" s="44"/>
      <c r="Q21" s="169"/>
      <c r="S21" s="162"/>
      <c r="T21" s="162"/>
      <c r="U21" s="159"/>
      <c r="V21" s="36"/>
    </row>
    <row r="22" spans="1:22" s="39" customFormat="1" ht="27" customHeight="1">
      <c r="A22" s="160" t="s">
        <v>146</v>
      </c>
      <c r="B22" s="156">
        <f t="shared" si="1"/>
        <v>18</v>
      </c>
      <c r="C22" s="37" t="s">
        <v>104</v>
      </c>
      <c r="D22" s="160" t="s">
        <v>103</v>
      </c>
      <c r="E22" s="151">
        <v>1076</v>
      </c>
      <c r="F22" s="151">
        <v>1006</v>
      </c>
      <c r="G22" s="36"/>
      <c r="H22" s="36"/>
      <c r="I22" s="36">
        <v>137000</v>
      </c>
      <c r="J22" s="36"/>
      <c r="K22" s="36"/>
      <c r="L22" s="160"/>
      <c r="M22" s="160" t="s">
        <v>140</v>
      </c>
      <c r="N22" s="158"/>
      <c r="O22" s="43"/>
      <c r="P22" s="43"/>
      <c r="Q22" s="38"/>
      <c r="S22" s="162"/>
      <c r="T22" s="162"/>
      <c r="U22" s="159"/>
      <c r="V22" s="36"/>
    </row>
    <row r="23" spans="1:22" s="39" customFormat="1" ht="27" customHeight="1">
      <c r="A23" s="160" t="s">
        <v>146</v>
      </c>
      <c r="B23" s="156">
        <f t="shared" si="1"/>
        <v>19</v>
      </c>
      <c r="C23" s="37" t="s">
        <v>105</v>
      </c>
      <c r="D23" s="160" t="s">
        <v>103</v>
      </c>
      <c r="E23" s="151">
        <v>129</v>
      </c>
      <c r="F23" s="151">
        <v>34</v>
      </c>
      <c r="G23" s="36"/>
      <c r="H23" s="36"/>
      <c r="I23" s="36">
        <v>129000</v>
      </c>
      <c r="J23" s="36"/>
      <c r="K23" s="159"/>
      <c r="L23" s="160"/>
      <c r="M23" s="160" t="s">
        <v>140</v>
      </c>
      <c r="N23" s="158"/>
      <c r="O23" s="43"/>
      <c r="P23" s="43"/>
      <c r="Q23" s="38"/>
      <c r="S23" s="162"/>
      <c r="T23" s="162"/>
      <c r="U23" s="159"/>
      <c r="V23" s="36"/>
    </row>
    <row r="24" spans="1:22" s="39" customFormat="1" ht="27" customHeight="1">
      <c r="A24" s="160" t="s">
        <v>146</v>
      </c>
      <c r="B24" s="156">
        <f t="shared" si="1"/>
        <v>20</v>
      </c>
      <c r="C24" s="37" t="s">
        <v>106</v>
      </c>
      <c r="D24" s="160" t="s">
        <v>103</v>
      </c>
      <c r="E24" s="151">
        <v>774</v>
      </c>
      <c r="F24" s="151">
        <v>269</v>
      </c>
      <c r="G24" s="36"/>
      <c r="H24" s="159"/>
      <c r="I24" s="159">
        <v>129000</v>
      </c>
      <c r="J24" s="36"/>
      <c r="K24" s="159"/>
      <c r="L24" s="160"/>
      <c r="M24" s="160" t="s">
        <v>140</v>
      </c>
      <c r="N24" s="158"/>
      <c r="O24" s="43"/>
      <c r="P24" s="43"/>
      <c r="Q24" s="42"/>
      <c r="S24" s="162"/>
      <c r="T24" s="162"/>
      <c r="U24" s="159"/>
      <c r="V24" s="36"/>
    </row>
    <row r="25" spans="1:17" s="39" customFormat="1" ht="27" customHeight="1">
      <c r="A25" s="160"/>
      <c r="B25" s="48" t="s">
        <v>65</v>
      </c>
      <c r="C25" s="49"/>
      <c r="D25" s="160"/>
      <c r="E25" s="152">
        <f>SUM(E5:E24)</f>
        <v>272155</v>
      </c>
      <c r="F25" s="152">
        <f>SUM(F5:F24)</f>
        <v>12810</v>
      </c>
      <c r="G25" s="152"/>
      <c r="H25" s="152"/>
      <c r="I25" s="152"/>
      <c r="J25" s="152">
        <f aca="true" t="shared" si="3" ref="J25">SUM(J5:J24)</f>
        <v>261752000</v>
      </c>
      <c r="K25" s="50"/>
      <c r="L25" s="50"/>
      <c r="M25" s="160"/>
      <c r="N25" s="47"/>
      <c r="O25" s="43"/>
      <c r="P25" s="43"/>
      <c r="Q25" s="42"/>
    </row>
    <row r="26" spans="2:17" s="171" customFormat="1" ht="15">
      <c r="B26" s="172"/>
      <c r="C26" s="172"/>
      <c r="D26" s="172"/>
      <c r="E26" s="132"/>
      <c r="F26" s="132"/>
      <c r="G26" s="172"/>
      <c r="H26" s="172"/>
      <c r="I26" s="172"/>
      <c r="J26" s="172"/>
      <c r="K26" s="172"/>
      <c r="L26" s="173"/>
      <c r="M26" s="173"/>
      <c r="N26" s="172"/>
      <c r="O26" s="172"/>
      <c r="P26" s="172"/>
      <c r="Q26" s="172"/>
    </row>
    <row r="27" spans="2:17" s="165" customFormat="1" ht="70.5" customHeight="1">
      <c r="B27" s="22" t="s">
        <v>20</v>
      </c>
      <c r="C27" s="166"/>
      <c r="D27" s="166"/>
      <c r="E27" s="23"/>
      <c r="F27" s="23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</row>
    <row r="28" spans="1:17" s="165" customFormat="1" ht="15.75" customHeight="1" thickBot="1">
      <c r="A28" s="24"/>
      <c r="B28" s="25"/>
      <c r="C28" s="25"/>
      <c r="D28" s="25"/>
      <c r="E28" s="26"/>
      <c r="F28" s="27"/>
      <c r="G28" s="167"/>
      <c r="H28" s="167"/>
      <c r="I28" s="167"/>
      <c r="J28" s="167"/>
      <c r="K28" s="167"/>
      <c r="L28" s="167"/>
      <c r="M28" s="168"/>
      <c r="N28" s="301" t="s">
        <v>81</v>
      </c>
      <c r="O28" s="301"/>
      <c r="P28" s="301"/>
      <c r="Q28" s="301"/>
    </row>
    <row r="29" spans="1:17" s="34" customFormat="1" ht="27" customHeight="1">
      <c r="A29" s="28" t="s">
        <v>21</v>
      </c>
      <c r="B29" s="29" t="s">
        <v>22</v>
      </c>
      <c r="C29" s="302" t="s">
        <v>23</v>
      </c>
      <c r="D29" s="302" t="s">
        <v>24</v>
      </c>
      <c r="E29" s="30" t="s">
        <v>25</v>
      </c>
      <c r="F29" s="30" t="s">
        <v>26</v>
      </c>
      <c r="G29" s="304" t="s">
        <v>27</v>
      </c>
      <c r="H29" s="305"/>
      <c r="I29" s="302" t="s">
        <v>62</v>
      </c>
      <c r="J29" s="302" t="s">
        <v>64</v>
      </c>
      <c r="K29" s="302" t="s">
        <v>63</v>
      </c>
      <c r="L29" s="304" t="s">
        <v>28</v>
      </c>
      <c r="M29" s="305"/>
      <c r="N29" s="31" t="s">
        <v>29</v>
      </c>
      <c r="O29" s="32"/>
      <c r="P29" s="33"/>
      <c r="Q29" s="307" t="s">
        <v>30</v>
      </c>
    </row>
    <row r="30" spans="1:22" s="34" customFormat="1" ht="27" customHeight="1">
      <c r="A30" s="28" t="s">
        <v>31</v>
      </c>
      <c r="B30" s="155" t="s">
        <v>32</v>
      </c>
      <c r="C30" s="303"/>
      <c r="D30" s="303"/>
      <c r="E30" s="35" t="s">
        <v>33</v>
      </c>
      <c r="F30" s="35" t="s">
        <v>33</v>
      </c>
      <c r="G30" s="158" t="s">
        <v>34</v>
      </c>
      <c r="H30" s="158" t="s">
        <v>35</v>
      </c>
      <c r="I30" s="306"/>
      <c r="J30" s="306"/>
      <c r="K30" s="306"/>
      <c r="L30" s="158" t="s">
        <v>36</v>
      </c>
      <c r="M30" s="158" t="s">
        <v>37</v>
      </c>
      <c r="N30" s="158" t="s">
        <v>36</v>
      </c>
      <c r="O30" s="158" t="s">
        <v>37</v>
      </c>
      <c r="P30" s="158" t="s">
        <v>38</v>
      </c>
      <c r="Q30" s="308"/>
      <c r="S30" s="300" t="s">
        <v>69</v>
      </c>
      <c r="T30" s="300"/>
      <c r="U30" s="162" t="s">
        <v>70</v>
      </c>
      <c r="V30" s="162" t="s">
        <v>63</v>
      </c>
    </row>
    <row r="31" spans="1:22" s="39" customFormat="1" ht="27" customHeight="1">
      <c r="A31" s="160" t="s">
        <v>146</v>
      </c>
      <c r="B31" s="156">
        <f>B24+1</f>
        <v>21</v>
      </c>
      <c r="C31" s="37" t="s">
        <v>107</v>
      </c>
      <c r="D31" s="160" t="s">
        <v>103</v>
      </c>
      <c r="E31" s="151">
        <v>112</v>
      </c>
      <c r="F31" s="151">
        <v>112</v>
      </c>
      <c r="G31" s="36"/>
      <c r="H31" s="36" t="s">
        <v>133</v>
      </c>
      <c r="I31" s="36">
        <v>129000</v>
      </c>
      <c r="J31" s="36"/>
      <c r="K31" s="159"/>
      <c r="L31" s="160"/>
      <c r="M31" s="160" t="s">
        <v>140</v>
      </c>
      <c r="N31" s="40"/>
      <c r="O31" s="41"/>
      <c r="P31" s="158"/>
      <c r="Q31" s="42"/>
      <c r="S31" s="162" t="s">
        <v>151</v>
      </c>
      <c r="T31" s="162" t="s">
        <v>155</v>
      </c>
      <c r="U31" s="36" t="s">
        <v>154</v>
      </c>
      <c r="V31" s="36"/>
    </row>
    <row r="32" spans="1:22" s="39" customFormat="1" ht="27" customHeight="1">
      <c r="A32" s="160" t="s">
        <v>146</v>
      </c>
      <c r="B32" s="156">
        <f>B31+1</f>
        <v>22</v>
      </c>
      <c r="C32" s="37" t="s">
        <v>108</v>
      </c>
      <c r="D32" s="160" t="s">
        <v>82</v>
      </c>
      <c r="E32" s="151">
        <v>479</v>
      </c>
      <c r="F32" s="151">
        <v>73</v>
      </c>
      <c r="G32" s="36"/>
      <c r="H32" s="36"/>
      <c r="I32" s="36">
        <v>129000</v>
      </c>
      <c r="J32" s="36"/>
      <c r="K32" s="159"/>
      <c r="L32" s="160"/>
      <c r="M32" s="160" t="s">
        <v>132</v>
      </c>
      <c r="N32" s="158"/>
      <c r="O32" s="158"/>
      <c r="P32" s="158"/>
      <c r="Q32" s="38"/>
      <c r="S32" s="162" t="s">
        <v>151</v>
      </c>
      <c r="T32" s="162" t="s">
        <v>155</v>
      </c>
      <c r="U32" s="36" t="s">
        <v>154</v>
      </c>
      <c r="V32" s="159"/>
    </row>
    <row r="33" spans="1:22" s="39" customFormat="1" ht="27" customHeight="1">
      <c r="A33" s="160" t="s">
        <v>146</v>
      </c>
      <c r="B33" s="156">
        <f aca="true" t="shared" si="4" ref="B33:B50">B32+1</f>
        <v>23</v>
      </c>
      <c r="C33" s="37" t="s">
        <v>109</v>
      </c>
      <c r="D33" s="160" t="s">
        <v>103</v>
      </c>
      <c r="E33" s="151">
        <v>116</v>
      </c>
      <c r="F33" s="151">
        <v>100</v>
      </c>
      <c r="G33" s="36"/>
      <c r="H33" s="36" t="s">
        <v>133</v>
      </c>
      <c r="I33" s="36">
        <v>137000</v>
      </c>
      <c r="J33" s="36"/>
      <c r="K33" s="36"/>
      <c r="L33" s="160"/>
      <c r="M33" s="160" t="s">
        <v>140</v>
      </c>
      <c r="N33" s="40"/>
      <c r="O33" s="41"/>
      <c r="P33" s="158"/>
      <c r="Q33" s="42"/>
      <c r="R33" s="157"/>
      <c r="S33" s="162" t="s">
        <v>151</v>
      </c>
      <c r="T33" s="162" t="s">
        <v>155</v>
      </c>
      <c r="U33" s="36" t="s">
        <v>154</v>
      </c>
      <c r="V33" s="159"/>
    </row>
    <row r="34" spans="1:22" s="39" customFormat="1" ht="27" customHeight="1">
      <c r="A34" s="160" t="s">
        <v>146</v>
      </c>
      <c r="B34" s="156">
        <f t="shared" si="4"/>
        <v>24</v>
      </c>
      <c r="C34" s="37" t="s">
        <v>110</v>
      </c>
      <c r="D34" s="160" t="s">
        <v>82</v>
      </c>
      <c r="E34" s="151">
        <v>296</v>
      </c>
      <c r="F34" s="151">
        <v>68</v>
      </c>
      <c r="G34" s="36"/>
      <c r="H34" s="36"/>
      <c r="I34" s="36">
        <v>137000</v>
      </c>
      <c r="J34" s="36"/>
      <c r="K34" s="159"/>
      <c r="L34" s="160"/>
      <c r="M34" s="160" t="s">
        <v>132</v>
      </c>
      <c r="N34" s="158"/>
      <c r="O34" s="43"/>
      <c r="P34" s="43"/>
      <c r="Q34" s="38"/>
      <c r="R34" s="157"/>
      <c r="S34" s="162"/>
      <c r="T34" s="162"/>
      <c r="U34" s="159"/>
      <c r="V34" s="159"/>
    </row>
    <row r="35" spans="1:22" s="39" customFormat="1" ht="27" customHeight="1">
      <c r="A35" s="160" t="s">
        <v>147</v>
      </c>
      <c r="B35" s="156">
        <f t="shared" si="4"/>
        <v>25</v>
      </c>
      <c r="C35" s="37" t="s">
        <v>111</v>
      </c>
      <c r="D35" s="160" t="s">
        <v>82</v>
      </c>
      <c r="E35" s="151">
        <v>803</v>
      </c>
      <c r="F35" s="151">
        <v>89</v>
      </c>
      <c r="G35" s="36"/>
      <c r="H35" s="36"/>
      <c r="I35" s="36">
        <v>47000</v>
      </c>
      <c r="J35" s="36"/>
      <c r="K35" s="36"/>
      <c r="L35" s="160"/>
      <c r="M35" s="160" t="s">
        <v>132</v>
      </c>
      <c r="N35" s="158"/>
      <c r="O35" s="43"/>
      <c r="P35" s="43"/>
      <c r="Q35" s="38"/>
      <c r="S35" s="162"/>
      <c r="T35" s="162"/>
      <c r="U35" s="159"/>
      <c r="V35" s="159"/>
    </row>
    <row r="36" spans="1:22" s="39" customFormat="1" ht="27" customHeight="1">
      <c r="A36" s="160" t="s">
        <v>146</v>
      </c>
      <c r="B36" s="156">
        <f t="shared" si="4"/>
        <v>26</v>
      </c>
      <c r="C36" s="37" t="s">
        <v>112</v>
      </c>
      <c r="D36" s="160" t="s">
        <v>82</v>
      </c>
      <c r="E36" s="151">
        <v>42</v>
      </c>
      <c r="F36" s="151">
        <v>42</v>
      </c>
      <c r="G36" s="36"/>
      <c r="H36" s="36" t="s">
        <v>133</v>
      </c>
      <c r="I36" s="36">
        <v>174000</v>
      </c>
      <c r="J36" s="36">
        <f aca="true" t="shared" si="5" ref="J36:J38">I36*F36</f>
        <v>7308000</v>
      </c>
      <c r="K36" s="36"/>
      <c r="L36" s="160"/>
      <c r="M36" s="160" t="s">
        <v>132</v>
      </c>
      <c r="N36" s="44"/>
      <c r="O36" s="45"/>
      <c r="P36" s="44"/>
      <c r="Q36" s="169"/>
      <c r="S36" s="162"/>
      <c r="T36" s="162"/>
      <c r="U36" s="159"/>
      <c r="V36" s="36"/>
    </row>
    <row r="37" spans="1:22" s="39" customFormat="1" ht="27" customHeight="1">
      <c r="A37" s="160" t="s">
        <v>147</v>
      </c>
      <c r="B37" s="156">
        <f t="shared" si="4"/>
        <v>27</v>
      </c>
      <c r="C37" s="37" t="s">
        <v>113</v>
      </c>
      <c r="D37" s="160" t="s">
        <v>82</v>
      </c>
      <c r="E37" s="151">
        <v>618</v>
      </c>
      <c r="F37" s="151">
        <v>35</v>
      </c>
      <c r="G37" s="36"/>
      <c r="H37" s="36"/>
      <c r="I37" s="36">
        <v>174000</v>
      </c>
      <c r="J37" s="36">
        <f t="shared" si="5"/>
        <v>6090000</v>
      </c>
      <c r="K37" s="36"/>
      <c r="L37" s="160" t="s">
        <v>158</v>
      </c>
      <c r="M37" s="158" t="s">
        <v>159</v>
      </c>
      <c r="N37" s="44"/>
      <c r="O37" s="45"/>
      <c r="P37" s="44"/>
      <c r="Q37" s="169"/>
      <c r="S37" s="162"/>
      <c r="T37" s="162"/>
      <c r="U37" s="159"/>
      <c r="V37" s="159"/>
    </row>
    <row r="38" spans="1:22" s="39" customFormat="1" ht="27" customHeight="1">
      <c r="A38" s="160" t="s">
        <v>147</v>
      </c>
      <c r="B38" s="156">
        <f t="shared" si="4"/>
        <v>28</v>
      </c>
      <c r="C38" s="37" t="s">
        <v>114</v>
      </c>
      <c r="D38" s="160" t="s">
        <v>82</v>
      </c>
      <c r="E38" s="151">
        <v>227</v>
      </c>
      <c r="F38" s="151">
        <v>102</v>
      </c>
      <c r="G38" s="36"/>
      <c r="H38" s="36"/>
      <c r="I38" s="36">
        <v>170000</v>
      </c>
      <c r="J38" s="36">
        <f t="shared" si="5"/>
        <v>17340000</v>
      </c>
      <c r="K38" s="36"/>
      <c r="L38" s="160" t="s">
        <v>134</v>
      </c>
      <c r="M38" s="161" t="s">
        <v>135</v>
      </c>
      <c r="N38" s="44"/>
      <c r="O38" s="45"/>
      <c r="P38" s="44"/>
      <c r="Q38" s="169"/>
      <c r="S38" s="162" t="s">
        <v>157</v>
      </c>
      <c r="T38" s="162"/>
      <c r="U38" s="159"/>
      <c r="V38" s="36"/>
    </row>
    <row r="39" spans="1:22" s="39" customFormat="1" ht="27" customHeight="1">
      <c r="A39" s="160" t="s">
        <v>147</v>
      </c>
      <c r="B39" s="156">
        <f t="shared" si="4"/>
        <v>29</v>
      </c>
      <c r="C39" s="37" t="s">
        <v>115</v>
      </c>
      <c r="D39" s="160" t="s">
        <v>88</v>
      </c>
      <c r="E39" s="151">
        <v>779</v>
      </c>
      <c r="F39" s="151">
        <v>779</v>
      </c>
      <c r="G39" s="36"/>
      <c r="H39" s="36" t="s">
        <v>133</v>
      </c>
      <c r="I39" s="36">
        <v>138000</v>
      </c>
      <c r="J39" s="36"/>
      <c r="K39" s="36"/>
      <c r="L39" s="160"/>
      <c r="M39" s="160" t="s">
        <v>132</v>
      </c>
      <c r="N39" s="158"/>
      <c r="O39" s="43"/>
      <c r="P39" s="43"/>
      <c r="Q39" s="38"/>
      <c r="S39" s="162"/>
      <c r="T39" s="162"/>
      <c r="U39" s="159"/>
      <c r="V39" s="36"/>
    </row>
    <row r="40" spans="1:22" s="39" customFormat="1" ht="27" customHeight="1">
      <c r="A40" s="160" t="s">
        <v>141</v>
      </c>
      <c r="B40" s="156">
        <f t="shared" si="4"/>
        <v>30</v>
      </c>
      <c r="C40" s="37" t="s">
        <v>116</v>
      </c>
      <c r="D40" s="160" t="s">
        <v>88</v>
      </c>
      <c r="E40" s="151">
        <v>394</v>
      </c>
      <c r="F40" s="151">
        <v>281</v>
      </c>
      <c r="G40" s="36"/>
      <c r="H40" s="36"/>
      <c r="I40" s="36">
        <v>138000</v>
      </c>
      <c r="J40" s="36">
        <f aca="true" t="shared" si="6" ref="J40">I40*F40</f>
        <v>38778000</v>
      </c>
      <c r="K40" s="36"/>
      <c r="L40" s="160" t="s">
        <v>136</v>
      </c>
      <c r="M40" s="161" t="s">
        <v>137</v>
      </c>
      <c r="N40" s="158"/>
      <c r="O40" s="43"/>
      <c r="P40" s="43"/>
      <c r="Q40" s="38"/>
      <c r="S40" s="162" t="s">
        <v>151</v>
      </c>
      <c r="T40" s="162"/>
      <c r="U40" s="159"/>
      <c r="V40" s="36"/>
    </row>
    <row r="41" spans="1:22" s="39" customFormat="1" ht="27" customHeight="1">
      <c r="A41" s="160" t="s">
        <v>142</v>
      </c>
      <c r="B41" s="156">
        <f t="shared" si="4"/>
        <v>31</v>
      </c>
      <c r="C41" s="37" t="s">
        <v>117</v>
      </c>
      <c r="D41" s="160" t="s">
        <v>88</v>
      </c>
      <c r="E41" s="151">
        <v>47</v>
      </c>
      <c r="F41" s="151">
        <v>47</v>
      </c>
      <c r="G41" s="36"/>
      <c r="H41" s="36" t="s">
        <v>133</v>
      </c>
      <c r="I41" s="36">
        <v>143000</v>
      </c>
      <c r="J41" s="36"/>
      <c r="K41" s="36"/>
      <c r="L41" s="160"/>
      <c r="M41" s="160" t="s">
        <v>132</v>
      </c>
      <c r="N41" s="158"/>
      <c r="O41" s="43"/>
      <c r="P41" s="43"/>
      <c r="Q41" s="42"/>
      <c r="S41" s="162"/>
      <c r="T41" s="162"/>
      <c r="U41" s="159"/>
      <c r="V41" s="36"/>
    </row>
    <row r="42" spans="1:22" s="39" customFormat="1" ht="27" customHeight="1">
      <c r="A42" s="160" t="s">
        <v>142</v>
      </c>
      <c r="B42" s="156">
        <f t="shared" si="4"/>
        <v>32</v>
      </c>
      <c r="C42" s="37" t="s">
        <v>118</v>
      </c>
      <c r="D42" s="160" t="s">
        <v>103</v>
      </c>
      <c r="E42" s="151">
        <v>22</v>
      </c>
      <c r="F42" s="151">
        <v>21</v>
      </c>
      <c r="G42" s="36"/>
      <c r="H42" s="36" t="s">
        <v>133</v>
      </c>
      <c r="I42" s="36">
        <v>216000</v>
      </c>
      <c r="J42" s="36"/>
      <c r="K42" s="36"/>
      <c r="L42" s="160"/>
      <c r="M42" s="160" t="s">
        <v>140</v>
      </c>
      <c r="N42" s="158"/>
      <c r="O42" s="43"/>
      <c r="P42" s="43"/>
      <c r="Q42" s="38"/>
      <c r="S42" s="162"/>
      <c r="T42" s="162"/>
      <c r="U42" s="159"/>
      <c r="V42" s="36"/>
    </row>
    <row r="43" spans="1:22" s="46" customFormat="1" ht="27" customHeight="1">
      <c r="A43" s="160" t="s">
        <v>145</v>
      </c>
      <c r="B43" s="156">
        <f t="shared" si="4"/>
        <v>33</v>
      </c>
      <c r="C43" s="37" t="s">
        <v>119</v>
      </c>
      <c r="D43" s="160" t="s">
        <v>103</v>
      </c>
      <c r="E43" s="151">
        <v>38</v>
      </c>
      <c r="F43" s="151">
        <v>38</v>
      </c>
      <c r="G43" s="36"/>
      <c r="H43" s="36" t="s">
        <v>133</v>
      </c>
      <c r="I43" s="36">
        <v>196000</v>
      </c>
      <c r="J43" s="36"/>
      <c r="K43" s="36"/>
      <c r="L43" s="160"/>
      <c r="M43" s="160" t="s">
        <v>140</v>
      </c>
      <c r="N43" s="158"/>
      <c r="O43" s="43"/>
      <c r="P43" s="43"/>
      <c r="Q43" s="38"/>
      <c r="S43" s="162" t="s">
        <v>151</v>
      </c>
      <c r="T43" s="162"/>
      <c r="U43" s="159"/>
      <c r="V43" s="36"/>
    </row>
    <row r="44" spans="1:22" s="39" customFormat="1" ht="27" customHeight="1">
      <c r="A44" s="160" t="s">
        <v>143</v>
      </c>
      <c r="B44" s="156">
        <f t="shared" si="4"/>
        <v>34</v>
      </c>
      <c r="C44" s="37" t="s">
        <v>120</v>
      </c>
      <c r="D44" s="160" t="s">
        <v>103</v>
      </c>
      <c r="E44" s="151">
        <v>707</v>
      </c>
      <c r="F44" s="151">
        <v>432</v>
      </c>
      <c r="G44" s="36"/>
      <c r="H44" s="36"/>
      <c r="I44" s="36">
        <v>128000</v>
      </c>
      <c r="J44" s="36"/>
      <c r="K44" s="36"/>
      <c r="L44" s="160"/>
      <c r="M44" s="160" t="s">
        <v>140</v>
      </c>
      <c r="N44" s="158"/>
      <c r="O44" s="43"/>
      <c r="P44" s="43"/>
      <c r="Q44" s="38"/>
      <c r="S44" s="162"/>
      <c r="T44" s="162"/>
      <c r="U44" s="159"/>
      <c r="V44" s="36"/>
    </row>
    <row r="45" spans="1:22" s="39" customFormat="1" ht="27" customHeight="1">
      <c r="A45" s="160" t="s">
        <v>145</v>
      </c>
      <c r="B45" s="156">
        <f t="shared" si="4"/>
        <v>35</v>
      </c>
      <c r="C45" s="37" t="s">
        <v>121</v>
      </c>
      <c r="D45" s="160" t="s">
        <v>103</v>
      </c>
      <c r="E45" s="151">
        <v>1232</v>
      </c>
      <c r="F45" s="151">
        <v>75</v>
      </c>
      <c r="G45" s="36"/>
      <c r="H45" s="36"/>
      <c r="I45" s="36">
        <v>132000</v>
      </c>
      <c r="J45" s="36"/>
      <c r="K45" s="36"/>
      <c r="L45" s="160"/>
      <c r="M45" s="160" t="s">
        <v>140</v>
      </c>
      <c r="N45" s="158"/>
      <c r="O45" s="43"/>
      <c r="P45" s="43"/>
      <c r="Q45" s="38"/>
      <c r="S45" s="162"/>
      <c r="T45" s="162"/>
      <c r="U45" s="159"/>
      <c r="V45" s="36"/>
    </row>
    <row r="46" spans="1:22" s="39" customFormat="1" ht="27" customHeight="1">
      <c r="A46" s="160" t="s">
        <v>146</v>
      </c>
      <c r="B46" s="156">
        <f t="shared" si="4"/>
        <v>36</v>
      </c>
      <c r="C46" s="37" t="s">
        <v>122</v>
      </c>
      <c r="D46" s="160" t="s">
        <v>103</v>
      </c>
      <c r="E46" s="151">
        <v>1223</v>
      </c>
      <c r="F46" s="151">
        <v>591</v>
      </c>
      <c r="G46" s="36"/>
      <c r="H46" s="36"/>
      <c r="I46" s="36">
        <v>126000</v>
      </c>
      <c r="J46" s="36"/>
      <c r="K46" s="36"/>
      <c r="L46" s="160"/>
      <c r="M46" s="160" t="s">
        <v>140</v>
      </c>
      <c r="N46" s="44"/>
      <c r="O46" s="154"/>
      <c r="P46" s="43"/>
      <c r="Q46" s="170"/>
      <c r="S46" s="162"/>
      <c r="T46" s="162"/>
      <c r="U46" s="159"/>
      <c r="V46" s="36"/>
    </row>
    <row r="47" spans="1:22" s="39" customFormat="1" ht="27" customHeight="1">
      <c r="A47" s="160" t="s">
        <v>146</v>
      </c>
      <c r="B47" s="156">
        <f t="shared" si="4"/>
        <v>37</v>
      </c>
      <c r="C47" s="37" t="s">
        <v>123</v>
      </c>
      <c r="D47" s="160" t="s">
        <v>103</v>
      </c>
      <c r="E47" s="151">
        <v>9017</v>
      </c>
      <c r="F47" s="151">
        <v>446</v>
      </c>
      <c r="G47" s="36"/>
      <c r="H47" s="36"/>
      <c r="I47" s="36">
        <v>44400</v>
      </c>
      <c r="J47" s="36"/>
      <c r="K47" s="36"/>
      <c r="L47" s="158"/>
      <c r="M47" s="160" t="s">
        <v>140</v>
      </c>
      <c r="N47" s="44"/>
      <c r="O47" s="45"/>
      <c r="P47" s="44"/>
      <c r="Q47" s="169"/>
      <c r="S47" s="162"/>
      <c r="T47" s="162"/>
      <c r="U47" s="159"/>
      <c r="V47" s="36"/>
    </row>
    <row r="48" spans="1:22" s="39" customFormat="1" ht="27" customHeight="1">
      <c r="A48" s="160" t="s">
        <v>146</v>
      </c>
      <c r="B48" s="156">
        <f t="shared" si="4"/>
        <v>38</v>
      </c>
      <c r="C48" s="37" t="s">
        <v>124</v>
      </c>
      <c r="D48" s="160" t="s">
        <v>103</v>
      </c>
      <c r="E48" s="151">
        <v>307</v>
      </c>
      <c r="F48" s="151">
        <v>186</v>
      </c>
      <c r="G48" s="36"/>
      <c r="H48" s="36"/>
      <c r="I48" s="36">
        <v>114000</v>
      </c>
      <c r="J48" s="36"/>
      <c r="K48" s="36"/>
      <c r="L48" s="160"/>
      <c r="M48" s="160" t="s">
        <v>140</v>
      </c>
      <c r="N48" s="158"/>
      <c r="O48" s="43"/>
      <c r="P48" s="43"/>
      <c r="Q48" s="38"/>
      <c r="S48" s="162" t="s">
        <v>151</v>
      </c>
      <c r="T48" s="162" t="s">
        <v>155</v>
      </c>
      <c r="U48" s="159" t="s">
        <v>154</v>
      </c>
      <c r="V48" s="36"/>
    </row>
    <row r="49" spans="1:22" s="39" customFormat="1" ht="27" customHeight="1">
      <c r="A49" s="160" t="s">
        <v>146</v>
      </c>
      <c r="B49" s="156">
        <f t="shared" si="4"/>
        <v>39</v>
      </c>
      <c r="C49" s="37" t="s">
        <v>125</v>
      </c>
      <c r="D49" s="160" t="s">
        <v>103</v>
      </c>
      <c r="E49" s="151">
        <v>655</v>
      </c>
      <c r="F49" s="151">
        <v>216</v>
      </c>
      <c r="G49" s="36"/>
      <c r="H49" s="36"/>
      <c r="I49" s="36">
        <v>109000</v>
      </c>
      <c r="J49" s="36"/>
      <c r="K49" s="36"/>
      <c r="L49" s="160"/>
      <c r="M49" s="160" t="s">
        <v>140</v>
      </c>
      <c r="N49" s="158"/>
      <c r="O49" s="43"/>
      <c r="P49" s="43"/>
      <c r="Q49" s="38"/>
      <c r="S49" s="162" t="s">
        <v>151</v>
      </c>
      <c r="T49" s="162" t="s">
        <v>155</v>
      </c>
      <c r="U49" s="159" t="s">
        <v>154</v>
      </c>
      <c r="V49" s="36"/>
    </row>
    <row r="50" spans="1:22" s="39" customFormat="1" ht="27" customHeight="1">
      <c r="A50" s="160" t="s">
        <v>146</v>
      </c>
      <c r="B50" s="156">
        <f t="shared" si="4"/>
        <v>40</v>
      </c>
      <c r="C50" s="160" t="s">
        <v>126</v>
      </c>
      <c r="D50" s="160" t="s">
        <v>103</v>
      </c>
      <c r="E50" s="151">
        <v>638</v>
      </c>
      <c r="F50" s="151">
        <v>627</v>
      </c>
      <c r="G50" s="36"/>
      <c r="H50" s="36"/>
      <c r="I50" s="36">
        <v>129000</v>
      </c>
      <c r="J50" s="36"/>
      <c r="K50" s="36"/>
      <c r="L50" s="160"/>
      <c r="M50" s="160" t="s">
        <v>140</v>
      </c>
      <c r="N50" s="158"/>
      <c r="O50" s="43"/>
      <c r="P50" s="43"/>
      <c r="Q50" s="42"/>
      <c r="S50" s="162" t="s">
        <v>151</v>
      </c>
      <c r="T50" s="162" t="s">
        <v>155</v>
      </c>
      <c r="U50" s="159" t="s">
        <v>154</v>
      </c>
      <c r="V50" s="36"/>
    </row>
    <row r="51" spans="1:17" s="39" customFormat="1" ht="27" customHeight="1">
      <c r="A51" s="160"/>
      <c r="B51" s="48" t="s">
        <v>65</v>
      </c>
      <c r="C51" s="49"/>
      <c r="D51" s="160"/>
      <c r="E51" s="152">
        <f>SUM(E31:E50)</f>
        <v>17752</v>
      </c>
      <c r="F51" s="152">
        <f>SUM(F31:F50)</f>
        <v>4360</v>
      </c>
      <c r="G51" s="152"/>
      <c r="H51" s="152"/>
      <c r="I51" s="152"/>
      <c r="J51" s="152">
        <f aca="true" t="shared" si="7" ref="J51">SUM(J31:J50)</f>
        <v>69516000</v>
      </c>
      <c r="K51" s="50"/>
      <c r="L51" s="50"/>
      <c r="M51" s="160"/>
      <c r="N51" s="47"/>
      <c r="O51" s="43"/>
      <c r="P51" s="43"/>
      <c r="Q51" s="42"/>
    </row>
    <row r="52" spans="2:17" s="171" customFormat="1" ht="15">
      <c r="B52" s="172"/>
      <c r="C52" s="172"/>
      <c r="D52" s="172"/>
      <c r="E52" s="132"/>
      <c r="F52" s="132"/>
      <c r="G52" s="172"/>
      <c r="H52" s="172"/>
      <c r="I52" s="172"/>
      <c r="J52" s="172"/>
      <c r="K52" s="172"/>
      <c r="L52" s="173"/>
      <c r="M52" s="173"/>
      <c r="N52" s="172"/>
      <c r="O52" s="172"/>
      <c r="P52" s="172"/>
      <c r="Q52" s="172"/>
    </row>
    <row r="53" spans="2:17" s="165" customFormat="1" ht="70.5" customHeight="1">
      <c r="B53" s="22" t="s">
        <v>20</v>
      </c>
      <c r="C53" s="166"/>
      <c r="D53" s="166"/>
      <c r="E53" s="23"/>
      <c r="F53" s="23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</row>
    <row r="54" spans="1:17" s="165" customFormat="1" ht="15.75" customHeight="1" thickBot="1">
      <c r="A54" s="24"/>
      <c r="B54" s="25"/>
      <c r="C54" s="25"/>
      <c r="D54" s="25"/>
      <c r="E54" s="26"/>
      <c r="F54" s="27"/>
      <c r="G54" s="167"/>
      <c r="H54" s="167"/>
      <c r="I54" s="167"/>
      <c r="J54" s="167"/>
      <c r="K54" s="167"/>
      <c r="L54" s="167"/>
      <c r="M54" s="168"/>
      <c r="N54" s="301" t="s">
        <v>81</v>
      </c>
      <c r="O54" s="301"/>
      <c r="P54" s="301"/>
      <c r="Q54" s="301"/>
    </row>
    <row r="55" spans="1:17" s="34" customFormat="1" ht="27" customHeight="1">
      <c r="A55" s="28" t="s">
        <v>21</v>
      </c>
      <c r="B55" s="29" t="s">
        <v>22</v>
      </c>
      <c r="C55" s="302" t="s">
        <v>23</v>
      </c>
      <c r="D55" s="302" t="s">
        <v>24</v>
      </c>
      <c r="E55" s="30" t="s">
        <v>25</v>
      </c>
      <c r="F55" s="30" t="s">
        <v>26</v>
      </c>
      <c r="G55" s="304" t="s">
        <v>27</v>
      </c>
      <c r="H55" s="305"/>
      <c r="I55" s="302" t="s">
        <v>62</v>
      </c>
      <c r="J55" s="302" t="s">
        <v>64</v>
      </c>
      <c r="K55" s="302" t="s">
        <v>63</v>
      </c>
      <c r="L55" s="304" t="s">
        <v>28</v>
      </c>
      <c r="M55" s="305"/>
      <c r="N55" s="31" t="s">
        <v>29</v>
      </c>
      <c r="O55" s="32"/>
      <c r="P55" s="33"/>
      <c r="Q55" s="307" t="s">
        <v>30</v>
      </c>
    </row>
    <row r="56" spans="1:22" s="34" customFormat="1" ht="27" customHeight="1">
      <c r="A56" s="28" t="s">
        <v>31</v>
      </c>
      <c r="B56" s="155" t="s">
        <v>32</v>
      </c>
      <c r="C56" s="303"/>
      <c r="D56" s="303"/>
      <c r="E56" s="35" t="s">
        <v>33</v>
      </c>
      <c r="F56" s="35" t="s">
        <v>33</v>
      </c>
      <c r="G56" s="158" t="s">
        <v>34</v>
      </c>
      <c r="H56" s="158" t="s">
        <v>35</v>
      </c>
      <c r="I56" s="306"/>
      <c r="J56" s="306"/>
      <c r="K56" s="306"/>
      <c r="L56" s="158" t="s">
        <v>36</v>
      </c>
      <c r="M56" s="158" t="s">
        <v>37</v>
      </c>
      <c r="N56" s="158" t="s">
        <v>36</v>
      </c>
      <c r="O56" s="158" t="s">
        <v>37</v>
      </c>
      <c r="P56" s="158" t="s">
        <v>38</v>
      </c>
      <c r="Q56" s="308"/>
      <c r="S56" s="300" t="s">
        <v>69</v>
      </c>
      <c r="T56" s="300"/>
      <c r="U56" s="162" t="s">
        <v>70</v>
      </c>
      <c r="V56" s="162" t="s">
        <v>71</v>
      </c>
    </row>
    <row r="57" spans="1:22" s="39" customFormat="1" ht="27" customHeight="1">
      <c r="A57" s="160" t="s">
        <v>73</v>
      </c>
      <c r="B57" s="156">
        <f>B50+1</f>
        <v>41</v>
      </c>
      <c r="C57" s="37" t="s">
        <v>127</v>
      </c>
      <c r="D57" s="160" t="s">
        <v>103</v>
      </c>
      <c r="E57" s="151">
        <v>11637</v>
      </c>
      <c r="F57" s="151">
        <v>1045</v>
      </c>
      <c r="G57" s="36"/>
      <c r="H57" s="36"/>
      <c r="I57" s="36">
        <v>44400</v>
      </c>
      <c r="J57" s="36"/>
      <c r="K57" s="36"/>
      <c r="L57" s="160"/>
      <c r="M57" s="160" t="s">
        <v>140</v>
      </c>
      <c r="N57" s="158"/>
      <c r="O57" s="43"/>
      <c r="P57" s="43"/>
      <c r="Q57" s="38"/>
      <c r="S57" s="162"/>
      <c r="T57" s="162"/>
      <c r="U57" s="159"/>
      <c r="V57" s="36"/>
    </row>
    <row r="58" spans="1:22" s="46" customFormat="1" ht="27" customHeight="1">
      <c r="A58" s="160" t="s">
        <v>73</v>
      </c>
      <c r="B58" s="156">
        <f aca="true" t="shared" si="8" ref="B58">B57+1</f>
        <v>42</v>
      </c>
      <c r="C58" s="37" t="s">
        <v>128</v>
      </c>
      <c r="D58" s="160" t="s">
        <v>101</v>
      </c>
      <c r="E58" s="151">
        <v>480</v>
      </c>
      <c r="F58" s="151">
        <v>169</v>
      </c>
      <c r="G58" s="36"/>
      <c r="H58" s="36"/>
      <c r="I58" s="36"/>
      <c r="J58" s="36"/>
      <c r="K58" s="36"/>
      <c r="L58" s="160"/>
      <c r="M58" s="37" t="s">
        <v>138</v>
      </c>
      <c r="N58" s="158"/>
      <c r="O58" s="43"/>
      <c r="P58" s="43"/>
      <c r="Q58" s="38"/>
      <c r="S58" s="162" t="s">
        <v>151</v>
      </c>
      <c r="T58" s="162" t="s">
        <v>155</v>
      </c>
      <c r="U58" s="159" t="s">
        <v>154</v>
      </c>
      <c r="V58" s="36"/>
    </row>
    <row r="59" spans="1:22" s="46" customFormat="1" ht="27" customHeight="1">
      <c r="A59" s="160" t="s">
        <v>73</v>
      </c>
      <c r="B59" s="156">
        <f>B58+1</f>
        <v>43</v>
      </c>
      <c r="C59" s="37" t="s">
        <v>129</v>
      </c>
      <c r="D59" s="160" t="s">
        <v>101</v>
      </c>
      <c r="E59" s="151">
        <v>74</v>
      </c>
      <c r="F59" s="151">
        <v>73</v>
      </c>
      <c r="G59" s="36"/>
      <c r="H59" s="36" t="s">
        <v>133</v>
      </c>
      <c r="I59" s="36"/>
      <c r="J59" s="36"/>
      <c r="K59" s="36"/>
      <c r="L59" s="160"/>
      <c r="M59" s="37" t="s">
        <v>138</v>
      </c>
      <c r="N59" s="158"/>
      <c r="O59" s="43"/>
      <c r="P59" s="43"/>
      <c r="Q59" s="38"/>
      <c r="S59" s="162" t="s">
        <v>151</v>
      </c>
      <c r="T59" s="162" t="s">
        <v>155</v>
      </c>
      <c r="U59" s="159" t="s">
        <v>154</v>
      </c>
      <c r="V59" s="36"/>
    </row>
    <row r="60" spans="1:22" s="39" customFormat="1" ht="27" customHeight="1">
      <c r="A60" s="160" t="s">
        <v>73</v>
      </c>
      <c r="B60" s="156">
        <f>B59+1</f>
        <v>44</v>
      </c>
      <c r="C60" s="37" t="s">
        <v>130</v>
      </c>
      <c r="D60" s="160" t="s">
        <v>103</v>
      </c>
      <c r="E60" s="151">
        <v>477</v>
      </c>
      <c r="F60" s="151">
        <v>477</v>
      </c>
      <c r="G60" s="36"/>
      <c r="H60" s="36" t="s">
        <v>133</v>
      </c>
      <c r="I60" s="36">
        <v>129000</v>
      </c>
      <c r="J60" s="36"/>
      <c r="K60" s="36"/>
      <c r="L60" s="160"/>
      <c r="M60" s="160" t="s">
        <v>140</v>
      </c>
      <c r="N60" s="47"/>
      <c r="O60" s="43"/>
      <c r="P60" s="43"/>
      <c r="Q60" s="42"/>
      <c r="S60" s="162"/>
      <c r="T60" s="162"/>
      <c r="U60" s="36"/>
      <c r="V60" s="36"/>
    </row>
    <row r="61" spans="1:22" s="39" customFormat="1" ht="27" customHeight="1">
      <c r="A61" s="160" t="s">
        <v>73</v>
      </c>
      <c r="B61" s="156">
        <f>B60+1</f>
        <v>45</v>
      </c>
      <c r="C61" s="37" t="s">
        <v>131</v>
      </c>
      <c r="D61" s="160" t="s">
        <v>101</v>
      </c>
      <c r="E61" s="151">
        <v>2224</v>
      </c>
      <c r="F61" s="151">
        <v>83</v>
      </c>
      <c r="G61" s="36"/>
      <c r="H61" s="36"/>
      <c r="I61" s="36"/>
      <c r="J61" s="36"/>
      <c r="K61" s="36"/>
      <c r="L61" s="160"/>
      <c r="M61" s="37" t="s">
        <v>138</v>
      </c>
      <c r="N61" s="47"/>
      <c r="O61" s="43"/>
      <c r="P61" s="43"/>
      <c r="Q61" s="42"/>
      <c r="S61" s="162"/>
      <c r="T61" s="162"/>
      <c r="U61" s="36"/>
      <c r="V61" s="36"/>
    </row>
    <row r="62" spans="1:22" s="39" customFormat="1" ht="27" customHeight="1">
      <c r="A62" s="160" t="s">
        <v>148</v>
      </c>
      <c r="B62" s="156">
        <f>B61+1</f>
        <v>46</v>
      </c>
      <c r="C62" s="37"/>
      <c r="D62" s="160"/>
      <c r="E62" s="151"/>
      <c r="F62" s="151"/>
      <c r="G62" s="36"/>
      <c r="H62" s="36"/>
      <c r="I62" s="36"/>
      <c r="J62" s="36"/>
      <c r="K62" s="36"/>
      <c r="L62" s="160"/>
      <c r="M62" s="37"/>
      <c r="N62" s="47"/>
      <c r="O62" s="43"/>
      <c r="P62" s="43"/>
      <c r="Q62" s="42"/>
      <c r="S62" s="162"/>
      <c r="T62" s="162"/>
      <c r="U62" s="159"/>
      <c r="V62" s="36"/>
    </row>
    <row r="63" spans="1:22" s="39" customFormat="1" ht="27" customHeight="1">
      <c r="A63" s="160" t="s">
        <v>148</v>
      </c>
      <c r="B63" s="156">
        <f aca="true" t="shared" si="9" ref="B63:B68">B62+1</f>
        <v>47</v>
      </c>
      <c r="C63" s="37"/>
      <c r="D63" s="160"/>
      <c r="E63" s="151"/>
      <c r="F63" s="151"/>
      <c r="G63" s="36"/>
      <c r="H63" s="36"/>
      <c r="I63" s="36"/>
      <c r="J63" s="36"/>
      <c r="K63" s="36"/>
      <c r="L63" s="160"/>
      <c r="M63" s="37"/>
      <c r="N63" s="47"/>
      <c r="O63" s="43"/>
      <c r="P63" s="43"/>
      <c r="Q63" s="42"/>
      <c r="S63" s="162"/>
      <c r="T63" s="162"/>
      <c r="U63" s="159"/>
      <c r="V63" s="36"/>
    </row>
    <row r="64" spans="1:17" s="39" customFormat="1" ht="27" customHeight="1">
      <c r="A64" s="160" t="s">
        <v>73</v>
      </c>
      <c r="B64" s="156">
        <f t="shared" si="9"/>
        <v>48</v>
      </c>
      <c r="C64" s="37"/>
      <c r="D64" s="160"/>
      <c r="E64" s="151"/>
      <c r="F64" s="151"/>
      <c r="G64" s="36"/>
      <c r="H64" s="36"/>
      <c r="I64" s="36"/>
      <c r="J64" s="36"/>
      <c r="K64" s="36"/>
      <c r="L64" s="160"/>
      <c r="M64" s="160"/>
      <c r="N64" s="40"/>
      <c r="O64" s="41"/>
      <c r="P64" s="158"/>
      <c r="Q64" s="42"/>
    </row>
    <row r="65" spans="1:17" s="39" customFormat="1" ht="27" customHeight="1">
      <c r="A65" s="160" t="s">
        <v>149</v>
      </c>
      <c r="B65" s="156">
        <f t="shared" si="9"/>
        <v>49</v>
      </c>
      <c r="C65" s="37"/>
      <c r="D65" s="160"/>
      <c r="E65" s="151"/>
      <c r="F65" s="151"/>
      <c r="G65" s="36"/>
      <c r="H65" s="36"/>
      <c r="I65" s="36"/>
      <c r="J65" s="36"/>
      <c r="K65" s="36"/>
      <c r="L65" s="158"/>
      <c r="M65" s="141"/>
      <c r="N65" s="40"/>
      <c r="O65" s="41"/>
      <c r="P65" s="158"/>
      <c r="Q65" s="42"/>
    </row>
    <row r="66" spans="1:17" s="39" customFormat="1" ht="27" customHeight="1">
      <c r="A66" s="160" t="s">
        <v>148</v>
      </c>
      <c r="B66" s="156">
        <f t="shared" si="9"/>
        <v>50</v>
      </c>
      <c r="C66" s="37"/>
      <c r="D66" s="160"/>
      <c r="E66" s="151"/>
      <c r="F66" s="151"/>
      <c r="G66" s="36"/>
      <c r="H66" s="36"/>
      <c r="I66" s="36"/>
      <c r="J66" s="36"/>
      <c r="K66" s="36"/>
      <c r="L66" s="160"/>
      <c r="M66" s="37"/>
      <c r="N66" s="158"/>
      <c r="O66" s="158"/>
      <c r="P66" s="158"/>
      <c r="Q66" s="38"/>
    </row>
    <row r="67" spans="1:17" s="39" customFormat="1" ht="27" customHeight="1">
      <c r="A67" s="160" t="s">
        <v>150</v>
      </c>
      <c r="B67" s="156">
        <f t="shared" si="9"/>
        <v>51</v>
      </c>
      <c r="C67" s="37"/>
      <c r="D67" s="160"/>
      <c r="E67" s="151"/>
      <c r="F67" s="151"/>
      <c r="G67" s="36"/>
      <c r="H67" s="36"/>
      <c r="I67" s="36"/>
      <c r="J67" s="36"/>
      <c r="K67" s="36"/>
      <c r="L67" s="160"/>
      <c r="M67" s="161"/>
      <c r="N67" s="158"/>
      <c r="O67" s="158"/>
      <c r="P67" s="158"/>
      <c r="Q67" s="38"/>
    </row>
    <row r="68" spans="1:17" s="39" customFormat="1" ht="27" customHeight="1">
      <c r="A68" s="160"/>
      <c r="B68" s="156">
        <f t="shared" si="9"/>
        <v>52</v>
      </c>
      <c r="C68" s="37"/>
      <c r="D68" s="160"/>
      <c r="E68" s="151"/>
      <c r="F68" s="151"/>
      <c r="G68" s="36"/>
      <c r="H68" s="36"/>
      <c r="I68" s="36"/>
      <c r="J68" s="36"/>
      <c r="K68" s="36"/>
      <c r="L68" s="160"/>
      <c r="M68" s="141"/>
      <c r="N68" s="158"/>
      <c r="O68" s="43"/>
      <c r="P68" s="158"/>
      <c r="Q68" s="38"/>
    </row>
    <row r="69" spans="1:17" s="39" customFormat="1" ht="27" customHeight="1">
      <c r="A69" s="160"/>
      <c r="B69" s="156">
        <f aca="true" t="shared" si="10" ref="B69:B75">B68+1</f>
        <v>53</v>
      </c>
      <c r="C69" s="37"/>
      <c r="D69" s="160"/>
      <c r="E69" s="151"/>
      <c r="F69" s="151"/>
      <c r="G69" s="36"/>
      <c r="H69" s="36"/>
      <c r="I69" s="36"/>
      <c r="J69" s="36"/>
      <c r="K69" s="36"/>
      <c r="L69" s="160"/>
      <c r="M69" s="160"/>
      <c r="N69" s="158"/>
      <c r="O69" s="158"/>
      <c r="P69" s="158"/>
      <c r="Q69" s="38"/>
    </row>
    <row r="70" spans="1:17" s="39" customFormat="1" ht="27" customHeight="1">
      <c r="A70" s="160"/>
      <c r="B70" s="156">
        <f t="shared" si="10"/>
        <v>54</v>
      </c>
      <c r="C70" s="37"/>
      <c r="D70" s="160"/>
      <c r="E70" s="151"/>
      <c r="F70" s="151"/>
      <c r="G70" s="36"/>
      <c r="H70" s="159"/>
      <c r="I70" s="159"/>
      <c r="J70" s="36"/>
      <c r="K70" s="159"/>
      <c r="L70" s="160"/>
      <c r="M70" s="160"/>
      <c r="N70" s="40"/>
      <c r="O70" s="41"/>
      <c r="P70" s="158"/>
      <c r="Q70" s="42"/>
    </row>
    <row r="71" spans="1:17" s="39" customFormat="1" ht="27" customHeight="1">
      <c r="A71" s="160"/>
      <c r="B71" s="156">
        <f t="shared" si="10"/>
        <v>55</v>
      </c>
      <c r="C71" s="37"/>
      <c r="D71" s="160"/>
      <c r="E71" s="151"/>
      <c r="F71" s="151"/>
      <c r="G71" s="36"/>
      <c r="H71" s="36"/>
      <c r="I71" s="36"/>
      <c r="J71" s="36"/>
      <c r="K71" s="36"/>
      <c r="L71" s="160"/>
      <c r="M71" s="160"/>
      <c r="N71" s="158"/>
      <c r="O71" s="43"/>
      <c r="P71" s="43"/>
      <c r="Q71" s="38"/>
    </row>
    <row r="72" spans="1:17" s="39" customFormat="1" ht="27" customHeight="1">
      <c r="A72" s="160"/>
      <c r="B72" s="156">
        <f t="shared" si="10"/>
        <v>56</v>
      </c>
      <c r="C72" s="37"/>
      <c r="D72" s="160"/>
      <c r="E72" s="151"/>
      <c r="F72" s="151"/>
      <c r="G72" s="36"/>
      <c r="H72" s="36"/>
      <c r="I72" s="36"/>
      <c r="J72" s="36"/>
      <c r="K72" s="36"/>
      <c r="L72" s="160"/>
      <c r="M72" s="160"/>
      <c r="N72" s="158"/>
      <c r="O72" s="43"/>
      <c r="P72" s="43"/>
      <c r="Q72" s="38"/>
    </row>
    <row r="73" spans="1:17" s="39" customFormat="1" ht="27" customHeight="1">
      <c r="A73" s="160"/>
      <c r="B73" s="156">
        <f t="shared" si="10"/>
        <v>57</v>
      </c>
      <c r="C73" s="37"/>
      <c r="D73" s="160"/>
      <c r="E73" s="151"/>
      <c r="F73" s="151"/>
      <c r="G73" s="36"/>
      <c r="H73" s="36"/>
      <c r="I73" s="36"/>
      <c r="J73" s="36"/>
      <c r="K73" s="36"/>
      <c r="L73" s="160"/>
      <c r="M73" s="160"/>
      <c r="N73" s="44"/>
      <c r="O73" s="45"/>
      <c r="P73" s="44"/>
      <c r="Q73" s="169"/>
    </row>
    <row r="74" spans="1:17" s="39" customFormat="1" ht="27" customHeight="1">
      <c r="A74" s="160"/>
      <c r="B74" s="156">
        <f t="shared" si="10"/>
        <v>58</v>
      </c>
      <c r="C74" s="37"/>
      <c r="D74" s="160"/>
      <c r="E74" s="151"/>
      <c r="F74" s="151"/>
      <c r="G74" s="36"/>
      <c r="H74" s="36"/>
      <c r="I74" s="36"/>
      <c r="J74" s="36"/>
      <c r="K74" s="36"/>
      <c r="L74" s="160"/>
      <c r="M74" s="160"/>
      <c r="N74" s="44"/>
      <c r="O74" s="45"/>
      <c r="P74" s="44"/>
      <c r="Q74" s="169"/>
    </row>
    <row r="75" spans="1:17" s="39" customFormat="1" ht="27" customHeight="1">
      <c r="A75" s="160"/>
      <c r="B75" s="156">
        <f t="shared" si="10"/>
        <v>59</v>
      </c>
      <c r="C75" s="37"/>
      <c r="D75" s="160"/>
      <c r="E75" s="151"/>
      <c r="F75" s="151"/>
      <c r="G75" s="36"/>
      <c r="H75" s="36"/>
      <c r="I75" s="36"/>
      <c r="J75" s="36"/>
      <c r="K75" s="36"/>
      <c r="L75" s="160"/>
      <c r="M75" s="160"/>
      <c r="N75" s="158"/>
      <c r="O75" s="43"/>
      <c r="P75" s="43"/>
      <c r="Q75" s="38"/>
    </row>
    <row r="76" spans="1:17" s="39" customFormat="1" ht="27" customHeight="1">
      <c r="A76" s="160"/>
      <c r="B76" s="48" t="s">
        <v>65</v>
      </c>
      <c r="C76" s="49"/>
      <c r="D76" s="160"/>
      <c r="E76" s="152">
        <f>SUM(E57:E75)</f>
        <v>14892</v>
      </c>
      <c r="F76" s="152">
        <f aca="true" t="shared" si="11" ref="F76:J76">SUM(F57:F75)</f>
        <v>1847</v>
      </c>
      <c r="G76" s="152"/>
      <c r="H76" s="152"/>
      <c r="I76" s="152">
        <f t="shared" si="11"/>
        <v>173400</v>
      </c>
      <c r="J76" s="152">
        <f t="shared" si="11"/>
        <v>0</v>
      </c>
      <c r="K76" s="36"/>
      <c r="L76" s="160"/>
      <c r="M76" s="160"/>
      <c r="N76" s="47"/>
      <c r="O76" s="43"/>
      <c r="P76" s="43"/>
      <c r="Q76" s="42"/>
    </row>
    <row r="77" spans="1:17" s="39" customFormat="1" ht="27" customHeight="1">
      <c r="A77" s="160"/>
      <c r="B77" s="48" t="s">
        <v>40</v>
      </c>
      <c r="C77" s="49"/>
      <c r="D77" s="160"/>
      <c r="E77" s="152">
        <f>E25+E51+E76</f>
        <v>304799</v>
      </c>
      <c r="F77" s="152">
        <f>F25+F51+F76</f>
        <v>19017</v>
      </c>
      <c r="G77" s="152">
        <f aca="true" t="shared" si="12" ref="G77:I77">G25+G76</f>
        <v>0</v>
      </c>
      <c r="H77" s="152">
        <f t="shared" si="12"/>
        <v>0</v>
      </c>
      <c r="I77" s="152">
        <f t="shared" si="12"/>
        <v>173400</v>
      </c>
      <c r="J77" s="152">
        <f>J25+J51+J76</f>
        <v>331268000</v>
      </c>
      <c r="K77" s="36"/>
      <c r="L77" s="160"/>
      <c r="M77" s="160"/>
      <c r="N77" s="47"/>
      <c r="O77" s="43"/>
      <c r="P77" s="43"/>
      <c r="Q77" s="42"/>
    </row>
    <row r="78" spans="2:17" s="171" customFormat="1" ht="15">
      <c r="B78" s="172"/>
      <c r="C78" s="172"/>
      <c r="D78" s="172"/>
      <c r="E78" s="132"/>
      <c r="F78" s="132"/>
      <c r="G78" s="172"/>
      <c r="H78" s="172"/>
      <c r="I78" s="172"/>
      <c r="J78" s="172"/>
      <c r="K78" s="172"/>
      <c r="L78" s="173"/>
      <c r="M78" s="173"/>
      <c r="N78" s="172"/>
      <c r="O78" s="172"/>
      <c r="P78" s="172"/>
      <c r="Q78" s="172"/>
    </row>
    <row r="79" spans="1:17" ht="15">
      <c r="A79" s="174"/>
      <c r="B79" s="175"/>
      <c r="C79" s="175"/>
      <c r="D79" s="175"/>
      <c r="E79" s="54"/>
      <c r="F79" s="54"/>
      <c r="G79" s="175"/>
      <c r="H79" s="175"/>
      <c r="I79" s="175"/>
      <c r="J79" s="175"/>
      <c r="K79" s="175"/>
      <c r="L79" s="176"/>
      <c r="M79" s="176"/>
      <c r="N79" s="175"/>
      <c r="O79" s="175"/>
      <c r="P79" s="175"/>
      <c r="Q79" s="175"/>
    </row>
    <row r="80" spans="1:17" ht="24.95" customHeight="1">
      <c r="A80" s="55"/>
      <c r="B80" s="56"/>
      <c r="C80" s="56"/>
      <c r="D80" s="57" t="s">
        <v>41</v>
      </c>
      <c r="E80" s="178"/>
      <c r="F80" s="59" t="s">
        <v>42</v>
      </c>
      <c r="G80" s="57"/>
      <c r="H80" s="179"/>
      <c r="I80" s="180"/>
      <c r="J80" s="179"/>
      <c r="K80" s="179"/>
      <c r="L80" s="181" t="s">
        <v>39</v>
      </c>
      <c r="M80" s="181"/>
      <c r="N80" s="60" t="s">
        <v>67</v>
      </c>
      <c r="O80" s="60" t="s">
        <v>43</v>
      </c>
      <c r="P80" s="57" t="s">
        <v>44</v>
      </c>
      <c r="Q80" s="57"/>
    </row>
    <row r="81" spans="1:17" ht="24.95" customHeight="1">
      <c r="A81" s="55"/>
      <c r="B81" s="58" t="s">
        <v>161</v>
      </c>
      <c r="C81" s="58"/>
      <c r="D81" s="309">
        <f>SUMIF(D5:D75,"답",F5:F75)</f>
        <v>2552</v>
      </c>
      <c r="E81" s="310"/>
      <c r="F81" s="59">
        <f>SUMIF(D5:D75,"도",F5:F75)</f>
        <v>8878</v>
      </c>
      <c r="G81" s="60"/>
      <c r="H81" s="60"/>
      <c r="I81" s="59"/>
      <c r="J81" s="60"/>
      <c r="K81" s="60"/>
      <c r="L81" s="311">
        <f>SUMIF(D5:D75,"전",F5:F75)</f>
        <v>945</v>
      </c>
      <c r="M81" s="312"/>
      <c r="N81" s="60">
        <f>SUMIF(D5:D75,"구",F5:F75)</f>
        <v>400</v>
      </c>
      <c r="O81" s="61">
        <f>SUMIF(D5:D75,"과",F5:F75)</f>
        <v>0</v>
      </c>
      <c r="P81" s="313">
        <f>D81+F81+L81+N81+O81</f>
        <v>12775</v>
      </c>
      <c r="Q81" s="314"/>
    </row>
    <row r="82" spans="1:17" ht="24.95" customHeight="1">
      <c r="A82" s="55"/>
      <c r="B82" s="58" t="s">
        <v>45</v>
      </c>
      <c r="C82" s="58"/>
      <c r="D82" s="309">
        <f>COUNTIF(D5:D75,"답")</f>
        <v>8</v>
      </c>
      <c r="E82" s="310"/>
      <c r="F82" s="59">
        <f>COUNTIF(D5:D75,"도")</f>
        <v>22</v>
      </c>
      <c r="G82" s="60"/>
      <c r="H82" s="60"/>
      <c r="I82" s="59"/>
      <c r="J82" s="60"/>
      <c r="K82" s="60"/>
      <c r="L82" s="311">
        <f>COUNTIF(D5:D75,"전")</f>
        <v>10</v>
      </c>
      <c r="M82" s="312"/>
      <c r="N82" s="60">
        <f>COUNTIF(D5:D75,"구")</f>
        <v>4</v>
      </c>
      <c r="O82" s="61">
        <f>COUNTIF(D5:D75,"과")</f>
        <v>0</v>
      </c>
      <c r="P82" s="313">
        <f>D82+F82+L82+N82+O82</f>
        <v>44</v>
      </c>
      <c r="Q82" s="314"/>
    </row>
    <row r="83" spans="1:17" ht="24.95" customHeight="1">
      <c r="A83" s="55"/>
      <c r="B83" s="56"/>
      <c r="C83" s="56"/>
      <c r="D83" s="309" t="s">
        <v>46</v>
      </c>
      <c r="E83" s="310"/>
      <c r="F83" s="59" t="s">
        <v>47</v>
      </c>
      <c r="G83" s="60"/>
      <c r="H83" s="60"/>
      <c r="I83" s="60"/>
      <c r="J83" s="60"/>
      <c r="K83" s="60"/>
      <c r="L83" s="182" t="s">
        <v>48</v>
      </c>
      <c r="M83" s="182" t="s">
        <v>66</v>
      </c>
      <c r="N83" s="60" t="s">
        <v>49</v>
      </c>
      <c r="O83" s="60" t="s">
        <v>50</v>
      </c>
      <c r="P83" s="309" t="s">
        <v>40</v>
      </c>
      <c r="Q83" s="310"/>
    </row>
    <row r="84" spans="1:17" ht="24.95" customHeight="1">
      <c r="A84" s="62"/>
      <c r="B84" s="58" t="s">
        <v>161</v>
      </c>
      <c r="C84" s="58"/>
      <c r="D84" s="317">
        <f>SUMIF(D5:D75,"임",F5:F75)</f>
        <v>0</v>
      </c>
      <c r="E84" s="318"/>
      <c r="F84" s="59">
        <f>SUMIF(D5:D75,"장",F5:F75)</f>
        <v>0</v>
      </c>
      <c r="G84" s="163"/>
      <c r="H84" s="164"/>
      <c r="I84" s="59"/>
      <c r="J84" s="164"/>
      <c r="K84" s="164"/>
      <c r="L84" s="137">
        <f>SUMIF(D5:D75,"천",F5:F75)</f>
        <v>6242</v>
      </c>
      <c r="M84" s="137">
        <f>SUMIF(D5:D75,"수",F5:F75)</f>
        <v>0</v>
      </c>
      <c r="N84" s="61">
        <f>SUMIF(D5:D75,"학",F5:F75)</f>
        <v>0</v>
      </c>
      <c r="O84" s="61">
        <f>SUMIF(D5:D75,"창",F5:F75)</f>
        <v>0</v>
      </c>
      <c r="P84" s="313">
        <f>D84+F84+L84+M84+N84+O84</f>
        <v>6242</v>
      </c>
      <c r="Q84" s="314"/>
    </row>
    <row r="85" spans="1:17" ht="24.95" customHeight="1">
      <c r="A85" s="55"/>
      <c r="B85" s="58" t="s">
        <v>45</v>
      </c>
      <c r="C85" s="58"/>
      <c r="D85" s="317">
        <f>COUNTIF(D5:D75,"임")</f>
        <v>0</v>
      </c>
      <c r="E85" s="318"/>
      <c r="F85" s="59">
        <f>COUNTIF(D5:D75,"장")</f>
        <v>0</v>
      </c>
      <c r="G85" s="163"/>
      <c r="H85" s="164"/>
      <c r="I85" s="59"/>
      <c r="J85" s="164"/>
      <c r="K85" s="164"/>
      <c r="L85" s="137">
        <f>COUNTIF(D5:D75,"천")</f>
        <v>1</v>
      </c>
      <c r="M85" s="137">
        <f>COUNTIF(D5:D75,"수")</f>
        <v>0</v>
      </c>
      <c r="N85" s="61">
        <f>COUNTIF(D5:D75,"학")</f>
        <v>0</v>
      </c>
      <c r="O85" s="61">
        <f>COUNTIF(D5:D75,"창")</f>
        <v>0</v>
      </c>
      <c r="P85" s="313">
        <f>D85+F85+L85+M85+N85+O85</f>
        <v>1</v>
      </c>
      <c r="Q85" s="314"/>
    </row>
    <row r="86" spans="1:17" ht="24.95" customHeight="1">
      <c r="A86" s="65"/>
      <c r="B86" s="66"/>
      <c r="C86" s="67"/>
      <c r="D86" s="183" t="s">
        <v>51</v>
      </c>
      <c r="E86" s="184"/>
      <c r="F86" s="185" t="s">
        <v>52</v>
      </c>
      <c r="G86" s="186"/>
      <c r="H86" s="187"/>
      <c r="I86" s="187"/>
      <c r="J86" s="187"/>
      <c r="K86" s="187" t="s">
        <v>74</v>
      </c>
      <c r="L86" s="187" t="s">
        <v>40</v>
      </c>
      <c r="M86" s="185"/>
      <c r="N86" s="188"/>
      <c r="O86" s="68" t="s">
        <v>162</v>
      </c>
      <c r="P86" s="337">
        <f>P81+P84</f>
        <v>19017</v>
      </c>
      <c r="Q86" s="318"/>
    </row>
    <row r="87" spans="1:17" ht="24.95" customHeight="1">
      <c r="A87" s="65"/>
      <c r="B87" s="69" t="s">
        <v>161</v>
      </c>
      <c r="C87" s="69"/>
      <c r="D87" s="189">
        <f>P90+P98</f>
        <v>9270</v>
      </c>
      <c r="E87" s="190"/>
      <c r="F87" s="191">
        <f>P92+P100</f>
        <v>7794</v>
      </c>
      <c r="G87" s="192"/>
      <c r="H87" s="193"/>
      <c r="I87" s="194"/>
      <c r="J87" s="194"/>
      <c r="K87" s="195">
        <f>P94+P102</f>
        <v>1953</v>
      </c>
      <c r="L87" s="196">
        <f>D87+F87+K87</f>
        <v>19017</v>
      </c>
      <c r="M87" s="197" t="str">
        <f>N2</f>
        <v xml:space="preserve">포항시 북구 흥해읍 이인리 </v>
      </c>
      <c r="N87" s="74"/>
      <c r="O87" s="68" t="s">
        <v>54</v>
      </c>
      <c r="P87" s="64">
        <f>P82+P85</f>
        <v>45</v>
      </c>
      <c r="Q87" s="63"/>
    </row>
    <row r="88" spans="1:17" ht="24.95" customHeight="1" thickBot="1">
      <c r="A88" s="65"/>
      <c r="B88" s="69" t="s">
        <v>45</v>
      </c>
      <c r="C88" s="69"/>
      <c r="D88" s="70">
        <f>P91+P99</f>
        <v>28</v>
      </c>
      <c r="E88" s="71"/>
      <c r="F88" s="139">
        <f>P93+P101</f>
        <v>11</v>
      </c>
      <c r="G88" s="72"/>
      <c r="H88" s="198"/>
      <c r="I88" s="194"/>
      <c r="J88" s="194"/>
      <c r="K88" s="199">
        <f>P95+P103</f>
        <v>12</v>
      </c>
      <c r="L88" s="196">
        <f>D88+F88+K88</f>
        <v>51</v>
      </c>
      <c r="M88" s="73"/>
      <c r="N88" s="74"/>
      <c r="O88" s="200" t="s">
        <v>55</v>
      </c>
      <c r="P88" s="201" t="str">
        <f>IF(AND(L87=P86,L88=P87),"OK","NG")</f>
        <v>NG</v>
      </c>
      <c r="Q88" s="67"/>
    </row>
    <row r="89" spans="1:17" ht="24.95" customHeight="1">
      <c r="A89" s="75"/>
      <c r="B89" s="76"/>
      <c r="C89" s="76"/>
      <c r="D89" s="77" t="s">
        <v>163</v>
      </c>
      <c r="E89" s="78"/>
      <c r="F89" s="79" t="s">
        <v>164</v>
      </c>
      <c r="G89" s="77"/>
      <c r="H89" s="80"/>
      <c r="I89" s="138"/>
      <c r="J89" s="133"/>
      <c r="K89" s="80"/>
      <c r="L89" s="81" t="s">
        <v>75</v>
      </c>
      <c r="M89" s="82" t="s">
        <v>165</v>
      </c>
      <c r="N89" s="77" t="s">
        <v>77</v>
      </c>
      <c r="O89" s="83"/>
      <c r="P89" s="77" t="s">
        <v>40</v>
      </c>
      <c r="Q89" s="80"/>
    </row>
    <row r="90" spans="1:17" ht="24.95" customHeight="1">
      <c r="A90" s="75"/>
      <c r="B90" s="69" t="s">
        <v>56</v>
      </c>
      <c r="C90" s="69"/>
      <c r="D90" s="189">
        <f>SUMIF(A5:A78,"답1",F5:F78)</f>
        <v>0</v>
      </c>
      <c r="E90" s="190"/>
      <c r="F90" s="202">
        <f>SUMIF(A5:A78,"도1",F5:F78)</f>
        <v>8489</v>
      </c>
      <c r="G90" s="189"/>
      <c r="H90" s="203"/>
      <c r="I90" s="204"/>
      <c r="J90" s="183"/>
      <c r="K90" s="183"/>
      <c r="L90" s="205">
        <f>SUMIF(A5:A78,"전1",F5:F78)</f>
        <v>0</v>
      </c>
      <c r="M90" s="189">
        <f>SUMIF(A5:A78,"구1",F5:F78)</f>
        <v>482</v>
      </c>
      <c r="N90" s="189">
        <f>SUMIF(A5:A25,"과1",F5:F25)</f>
        <v>0</v>
      </c>
      <c r="O90" s="206"/>
      <c r="P90" s="327">
        <f aca="true" t="shared" si="13" ref="P90:P95">N90+M90+L90+G90+F90+D90</f>
        <v>8971</v>
      </c>
      <c r="Q90" s="328"/>
    </row>
    <row r="91" spans="1:17" ht="24.95" customHeight="1" thickBot="1">
      <c r="A91" s="75"/>
      <c r="B91" s="69" t="s">
        <v>57</v>
      </c>
      <c r="C91" s="69"/>
      <c r="D91" s="70">
        <f>COUNTIF(A5:A78,"답1")</f>
        <v>0</v>
      </c>
      <c r="E91" s="71"/>
      <c r="F91" s="207">
        <f>COUNTIF(A5:A78,"도1")</f>
        <v>23</v>
      </c>
      <c r="G91" s="70"/>
      <c r="H91" s="208"/>
      <c r="I91" s="209"/>
      <c r="J91" s="187"/>
      <c r="K91" s="187"/>
      <c r="L91" s="210">
        <f>COUNTIF(A5:A78,"전1")</f>
        <v>0</v>
      </c>
      <c r="M91" s="70">
        <f>COUNTIF(A5:A78,"구1")</f>
        <v>4</v>
      </c>
      <c r="N91" s="70">
        <f>COUNTIF(A5:A25,"과1")</f>
        <v>0</v>
      </c>
      <c r="O91" s="211"/>
      <c r="P91" s="329">
        <f t="shared" si="13"/>
        <v>27</v>
      </c>
      <c r="Q91" s="330"/>
    </row>
    <row r="92" spans="1:17" ht="24.95" customHeight="1" thickTop="1">
      <c r="A92" s="75"/>
      <c r="B92" s="212" t="s">
        <v>58</v>
      </c>
      <c r="C92" s="212"/>
      <c r="D92" s="213">
        <f>SUMIF(A5:A78,"답3",F5:F78)</f>
        <v>6355</v>
      </c>
      <c r="E92" s="214"/>
      <c r="F92" s="215">
        <f>SUMIF(A5:A78,"도3",F5:F78)</f>
        <v>0</v>
      </c>
      <c r="G92" s="213"/>
      <c r="H92" s="216"/>
      <c r="I92" s="217"/>
      <c r="J92" s="218"/>
      <c r="K92" s="218"/>
      <c r="L92" s="219">
        <f>SUMIF(A5:A78,"전3",F5:F78)</f>
        <v>1439</v>
      </c>
      <c r="M92" s="213">
        <f>SUMIF(A5:A78,"구3",F5:F78)</f>
        <v>0</v>
      </c>
      <c r="N92" s="213">
        <f>SUMIF(A5:A25,"과3",F5:F25)</f>
        <v>0</v>
      </c>
      <c r="O92" s="220"/>
      <c r="P92" s="325">
        <f t="shared" si="13"/>
        <v>7794</v>
      </c>
      <c r="Q92" s="326"/>
    </row>
    <row r="93" spans="1:17" ht="24.95" customHeight="1" thickBot="1">
      <c r="A93" s="75"/>
      <c r="B93" s="221" t="s">
        <v>59</v>
      </c>
      <c r="C93" s="221"/>
      <c r="D93" s="222">
        <f>COUNTIF(A5:A78,"답3")</f>
        <v>3</v>
      </c>
      <c r="E93" s="223"/>
      <c r="F93" s="224">
        <f>COUNTIF(A5:A78,"도3")</f>
        <v>0</v>
      </c>
      <c r="G93" s="222"/>
      <c r="H93" s="225"/>
      <c r="I93" s="226"/>
      <c r="J93" s="227"/>
      <c r="K93" s="227"/>
      <c r="L93" s="228">
        <f>COUNTIF(A5:A78,"전3")</f>
        <v>8</v>
      </c>
      <c r="M93" s="222">
        <f>COUNTIF(A5:A78,"구3")</f>
        <v>0</v>
      </c>
      <c r="N93" s="222">
        <f>COUNTIF(A5:A25,"과3")</f>
        <v>0</v>
      </c>
      <c r="O93" s="229"/>
      <c r="P93" s="329">
        <f t="shared" si="13"/>
        <v>11</v>
      </c>
      <c r="Q93" s="330"/>
    </row>
    <row r="94" spans="1:17" ht="24.95" customHeight="1" thickTop="1">
      <c r="A94" s="75"/>
      <c r="B94" s="69" t="s">
        <v>166</v>
      </c>
      <c r="C94" s="69"/>
      <c r="D94" s="230">
        <f>SUMIF(A5:A78,"답2",F5:F78)</f>
        <v>800</v>
      </c>
      <c r="E94" s="231"/>
      <c r="F94" s="232">
        <f>SUMIF(A5:A78,"도2",F5:F78)</f>
        <v>0</v>
      </c>
      <c r="G94" s="230"/>
      <c r="H94" s="233"/>
      <c r="I94" s="234"/>
      <c r="J94" s="235"/>
      <c r="K94" s="235"/>
      <c r="L94" s="236">
        <f>SUMIF(A5:A78,"전2",F5:F78)</f>
        <v>1153</v>
      </c>
      <c r="M94" s="230">
        <f>SUMIF(A5:A78,"구2",F5:F78)</f>
        <v>0</v>
      </c>
      <c r="N94" s="230">
        <f>SUMIF(A5:A25,"과2",F5:F25)</f>
        <v>0</v>
      </c>
      <c r="O94" s="237"/>
      <c r="P94" s="325">
        <f t="shared" si="13"/>
        <v>1953</v>
      </c>
      <c r="Q94" s="326"/>
    </row>
    <row r="95" spans="1:17" ht="24.95" customHeight="1" thickBot="1">
      <c r="A95" s="75"/>
      <c r="B95" s="69" t="s">
        <v>60</v>
      </c>
      <c r="C95" s="69"/>
      <c r="D95" s="70">
        <f>COUNTIF(A5:A78,"답2")</f>
        <v>6</v>
      </c>
      <c r="E95" s="71"/>
      <c r="F95" s="207">
        <f>COUNTIF(A5:A78,"도2")</f>
        <v>0</v>
      </c>
      <c r="G95" s="70"/>
      <c r="H95" s="208"/>
      <c r="I95" s="238"/>
      <c r="J95" s="187"/>
      <c r="K95" s="187"/>
      <c r="L95" s="239">
        <f>COUNTIF(A5:A78,"전2")</f>
        <v>5</v>
      </c>
      <c r="M95" s="240">
        <f>COUNTIF(A5:A78,"구2")</f>
        <v>0</v>
      </c>
      <c r="N95" s="240">
        <f>COUNTIF(A5:A25,"과2")</f>
        <v>0</v>
      </c>
      <c r="O95" s="241"/>
      <c r="P95" s="319">
        <f t="shared" si="13"/>
        <v>11</v>
      </c>
      <c r="Q95" s="320"/>
    </row>
    <row r="96" spans="1:17" ht="9.95" customHeight="1" thickBot="1">
      <c r="A96" s="75"/>
      <c r="B96" s="84"/>
      <c r="C96" s="84"/>
      <c r="D96" s="85"/>
      <c r="E96" s="86"/>
      <c r="F96" s="87"/>
      <c r="G96" s="85"/>
      <c r="H96" s="85"/>
      <c r="I96" s="85"/>
      <c r="J96" s="85"/>
      <c r="K96" s="85"/>
      <c r="L96" s="88"/>
      <c r="M96" s="88"/>
      <c r="N96" s="89"/>
      <c r="O96" s="89"/>
      <c r="P96" s="242"/>
      <c r="Q96" s="242"/>
    </row>
    <row r="97" spans="1:17" ht="24.95" customHeight="1">
      <c r="A97" s="75"/>
      <c r="B97" s="90"/>
      <c r="C97" s="90"/>
      <c r="D97" s="91" t="s">
        <v>80</v>
      </c>
      <c r="E97" s="92"/>
      <c r="F97" s="93" t="s">
        <v>47</v>
      </c>
      <c r="G97" s="91"/>
      <c r="H97" s="94"/>
      <c r="I97" s="138"/>
      <c r="J97" s="134"/>
      <c r="K97" s="134"/>
      <c r="L97" s="153" t="s">
        <v>167</v>
      </c>
      <c r="M97" s="95" t="s">
        <v>76</v>
      </c>
      <c r="N97" s="95" t="s">
        <v>78</v>
      </c>
      <c r="O97" s="96" t="s">
        <v>79</v>
      </c>
      <c r="P97" s="91" t="s">
        <v>40</v>
      </c>
      <c r="Q97" s="94"/>
    </row>
    <row r="98" spans="1:17" ht="24.95" customHeight="1">
      <c r="A98" s="74"/>
      <c r="B98" s="69" t="s">
        <v>56</v>
      </c>
      <c r="C98" s="69"/>
      <c r="D98" s="189">
        <f>SUMIF(A5:A75,"임1",F5:F75)</f>
        <v>0</v>
      </c>
      <c r="E98" s="190"/>
      <c r="F98" s="202">
        <f>SUMIF(A5:A25,"장1",F5:F25)</f>
        <v>0</v>
      </c>
      <c r="G98" s="189"/>
      <c r="H98" s="203"/>
      <c r="I98" s="202"/>
      <c r="J98" s="203"/>
      <c r="K98" s="203"/>
      <c r="L98" s="243">
        <f>SUMIF(A5:A78,"천1",F5:F78)</f>
        <v>299</v>
      </c>
      <c r="M98" s="244">
        <f>SUMIF(A5:A78,"수1",F5:F78)</f>
        <v>0</v>
      </c>
      <c r="N98" s="245">
        <f>SUMIF(A5:A25,"유1",F5:F25)</f>
        <v>0</v>
      </c>
      <c r="O98" s="245">
        <f>SUMIF(A5:A25,"창1",F5:F25)</f>
        <v>0</v>
      </c>
      <c r="P98" s="331">
        <f aca="true" t="shared" si="14" ref="P98:P103">O98+N98+M98+L98+G98+F98+D98</f>
        <v>299</v>
      </c>
      <c r="Q98" s="332"/>
    </row>
    <row r="99" spans="1:17" ht="24.95" customHeight="1" thickBot="1">
      <c r="A99" s="75"/>
      <c r="B99" s="69" t="s">
        <v>57</v>
      </c>
      <c r="C99" s="69"/>
      <c r="D99" s="70">
        <f>COUNTIF(A5:A75,"임1")</f>
        <v>0</v>
      </c>
      <c r="E99" s="71"/>
      <c r="F99" s="207">
        <f>COUNTIF(A5:A25,"장1")</f>
        <v>0</v>
      </c>
      <c r="G99" s="70"/>
      <c r="H99" s="208"/>
      <c r="I99" s="207"/>
      <c r="J99" s="208"/>
      <c r="K99" s="208"/>
      <c r="L99" s="246">
        <f>COUNTIF(A5:A78,"천1")</f>
        <v>1</v>
      </c>
      <c r="M99" s="247">
        <f>COUNTIF(A5:A78,"수1")</f>
        <v>0</v>
      </c>
      <c r="N99" s="248">
        <f>COUNTIF(A5:A25,"유1")</f>
        <v>0</v>
      </c>
      <c r="O99" s="248">
        <f>COUNTIF(A5:A25,"창1")</f>
        <v>0</v>
      </c>
      <c r="P99" s="329">
        <f t="shared" si="14"/>
        <v>1</v>
      </c>
      <c r="Q99" s="330"/>
    </row>
    <row r="100" spans="1:17" ht="24.95" customHeight="1" thickTop="1">
      <c r="A100" s="75"/>
      <c r="B100" s="212" t="s">
        <v>58</v>
      </c>
      <c r="C100" s="212"/>
      <c r="D100" s="213">
        <f>SUMIF(A5:A75,"임3",F5:F75)</f>
        <v>0</v>
      </c>
      <c r="E100" s="214"/>
      <c r="F100" s="215">
        <f>SUMIF(A5:A25,"장3",F5:F25)</f>
        <v>0</v>
      </c>
      <c r="G100" s="213"/>
      <c r="H100" s="216"/>
      <c r="I100" s="215"/>
      <c r="J100" s="216"/>
      <c r="K100" s="216"/>
      <c r="L100" s="249">
        <f>SUMIF(A5:A78,"천3",F5:F78)</f>
        <v>0</v>
      </c>
      <c r="M100" s="250">
        <f>SUMIF(A5:A78,"수3",F5:F78)</f>
        <v>0</v>
      </c>
      <c r="N100" s="251">
        <f>SUMIF(A5:A25,"유3",F5:F25)</f>
        <v>0</v>
      </c>
      <c r="O100" s="251">
        <f>SUMIF(A5:A25,"창3",F5:F25)</f>
        <v>0</v>
      </c>
      <c r="P100" s="333">
        <f t="shared" si="14"/>
        <v>0</v>
      </c>
      <c r="Q100" s="334"/>
    </row>
    <row r="101" spans="1:17" ht="24.95" customHeight="1" thickBot="1">
      <c r="A101" s="75"/>
      <c r="B101" s="221" t="s">
        <v>59</v>
      </c>
      <c r="C101" s="221"/>
      <c r="D101" s="222">
        <f>COUNTIF(A5:A75,"임3")</f>
        <v>0</v>
      </c>
      <c r="E101" s="223"/>
      <c r="F101" s="224">
        <f>COUNTIF(A5:A25,"장3")</f>
        <v>0</v>
      </c>
      <c r="G101" s="222"/>
      <c r="H101" s="225"/>
      <c r="I101" s="224"/>
      <c r="J101" s="225"/>
      <c r="K101" s="225"/>
      <c r="L101" s="252">
        <f>COUNTIF(A5:A78,"천3")</f>
        <v>0</v>
      </c>
      <c r="M101" s="253">
        <f>COUNTIF(A5:A78,"수3")</f>
        <v>0</v>
      </c>
      <c r="N101" s="254">
        <f>COUNTIF(A5:A25,"유3")</f>
        <v>0</v>
      </c>
      <c r="O101" s="254">
        <f>COUNTIF(A5:A25,"창3")</f>
        <v>0</v>
      </c>
      <c r="P101" s="329">
        <f t="shared" si="14"/>
        <v>0</v>
      </c>
      <c r="Q101" s="330"/>
    </row>
    <row r="102" spans="1:17" ht="24.75" customHeight="1" thickTop="1">
      <c r="A102" s="74"/>
      <c r="B102" s="69" t="s">
        <v>166</v>
      </c>
      <c r="C102" s="69"/>
      <c r="D102" s="230">
        <f>SUMIF(A5:A75,"임2",F5:F75)</f>
        <v>0</v>
      </c>
      <c r="E102" s="231"/>
      <c r="F102" s="232">
        <f>SUMIF(A5:A25,"장2",F5:F25)</f>
        <v>0</v>
      </c>
      <c r="G102" s="230"/>
      <c r="H102" s="233"/>
      <c r="I102" s="232"/>
      <c r="J102" s="233"/>
      <c r="K102" s="233"/>
      <c r="L102" s="255">
        <f>SUMIF(A5:A78,"천2",F5:F78)</f>
        <v>0</v>
      </c>
      <c r="M102" s="256">
        <f>SUMIF(A5:A78,"수2",F5:F78)</f>
        <v>0</v>
      </c>
      <c r="N102" s="257">
        <f>SUMIF(A5:A25,"유2",F5:F25)</f>
        <v>0</v>
      </c>
      <c r="O102" s="257">
        <f>SUMIF(A5:A25,"창2",F5:F25)</f>
        <v>0</v>
      </c>
      <c r="P102" s="335">
        <f t="shared" si="14"/>
        <v>0</v>
      </c>
      <c r="Q102" s="336"/>
    </row>
    <row r="103" spans="1:17" ht="24.75" customHeight="1" thickBot="1">
      <c r="A103" s="75"/>
      <c r="B103" s="258" t="s">
        <v>60</v>
      </c>
      <c r="C103" s="258"/>
      <c r="D103" s="240">
        <f>COUNTIF(A5:A75,"임2")</f>
        <v>1</v>
      </c>
      <c r="E103" s="259"/>
      <c r="F103" s="260">
        <f>COUNTIF(A5:A25,"장2")</f>
        <v>0</v>
      </c>
      <c r="G103" s="240"/>
      <c r="H103" s="261"/>
      <c r="I103" s="260"/>
      <c r="J103" s="261"/>
      <c r="K103" s="261"/>
      <c r="L103" s="262">
        <f>COUNTIF(A5:A78,"천2")</f>
        <v>0</v>
      </c>
      <c r="M103" s="263">
        <f>COUNTIF(A5:A78,"수2")</f>
        <v>0</v>
      </c>
      <c r="N103" s="264">
        <f>COUNTIF(A5:A25,"유2")</f>
        <v>0</v>
      </c>
      <c r="O103" s="264">
        <f>COUNTIF(A5:A25,"창2")</f>
        <v>0</v>
      </c>
      <c r="P103" s="319">
        <f t="shared" si="14"/>
        <v>1</v>
      </c>
      <c r="Q103" s="320"/>
    </row>
    <row r="104" spans="2:6" ht="24.75" customHeight="1">
      <c r="B104" s="265" t="s">
        <v>61</v>
      </c>
      <c r="C104" s="266"/>
      <c r="D104" s="267"/>
      <c r="E104" s="97">
        <f>COUNTIF(B5:B25,"미")</f>
        <v>0</v>
      </c>
      <c r="F104" s="98"/>
    </row>
    <row r="105" ht="15"/>
    <row r="106" spans="2:17" ht="15">
      <c r="B106" s="99"/>
      <c r="C106" s="100"/>
      <c r="D106" s="269" t="s">
        <v>53</v>
      </c>
      <c r="E106" s="270"/>
      <c r="F106" s="271" t="s">
        <v>52</v>
      </c>
      <c r="G106" s="272"/>
      <c r="H106" s="272"/>
      <c r="I106" s="272"/>
      <c r="J106" s="272"/>
      <c r="K106" s="272"/>
      <c r="L106" s="272"/>
      <c r="M106" s="273"/>
      <c r="N106" s="273"/>
      <c r="O106" s="101" t="s">
        <v>162</v>
      </c>
      <c r="P106" s="315">
        <f>F87</f>
        <v>7794</v>
      </c>
      <c r="Q106" s="316"/>
    </row>
    <row r="107" spans="2:17" ht="15">
      <c r="B107" s="102" t="s">
        <v>162</v>
      </c>
      <c r="C107" s="103"/>
      <c r="D107" s="106"/>
      <c r="E107" s="107"/>
      <c r="F107" s="108"/>
      <c r="G107" s="323"/>
      <c r="H107" s="324"/>
      <c r="I107" s="135"/>
      <c r="J107" s="135"/>
      <c r="K107" s="135"/>
      <c r="L107" s="109"/>
      <c r="M107" s="110">
        <f>N14</f>
        <v>0</v>
      </c>
      <c r="N107" s="110"/>
      <c r="O107" s="101" t="s">
        <v>45</v>
      </c>
      <c r="P107" s="104">
        <f>F88</f>
        <v>11</v>
      </c>
      <c r="Q107" s="105"/>
    </row>
    <row r="108" spans="2:17" ht="15">
      <c r="B108" s="102" t="s">
        <v>45</v>
      </c>
      <c r="C108" s="103"/>
      <c r="D108" s="106"/>
      <c r="E108" s="107"/>
      <c r="F108" s="108"/>
      <c r="G108" s="321"/>
      <c r="H108" s="322"/>
      <c r="I108" s="135"/>
      <c r="J108" s="135"/>
      <c r="K108" s="135"/>
      <c r="L108" s="109"/>
      <c r="M108" s="110"/>
      <c r="N108" s="111"/>
      <c r="O108" s="111"/>
      <c r="P108" s="274"/>
      <c r="Q108" s="274"/>
    </row>
    <row r="109" spans="2:17" ht="15">
      <c r="B109" s="112"/>
      <c r="C109" s="112"/>
      <c r="D109" s="275" t="s">
        <v>168</v>
      </c>
      <c r="E109" s="276"/>
      <c r="F109" s="277" t="s">
        <v>169</v>
      </c>
      <c r="G109" s="278" t="s">
        <v>170</v>
      </c>
      <c r="H109" s="278"/>
      <c r="I109" s="278"/>
      <c r="J109" s="278"/>
      <c r="K109" s="278"/>
      <c r="L109" s="278" t="s">
        <v>171</v>
      </c>
      <c r="M109" s="279"/>
      <c r="N109" s="279" t="s">
        <v>172</v>
      </c>
      <c r="O109" s="279" t="s">
        <v>173</v>
      </c>
      <c r="P109" s="113" t="s">
        <v>40</v>
      </c>
      <c r="Q109" s="114"/>
    </row>
    <row r="110" spans="2:17" ht="15">
      <c r="B110" s="115" t="s">
        <v>56</v>
      </c>
      <c r="C110" s="116"/>
      <c r="D110" s="280"/>
      <c r="E110" s="281"/>
      <c r="F110" s="282"/>
      <c r="G110" s="280"/>
      <c r="H110" s="283"/>
      <c r="I110" s="284"/>
      <c r="J110" s="284"/>
      <c r="K110" s="284"/>
      <c r="L110" s="280"/>
      <c r="M110" s="285"/>
      <c r="N110" s="286"/>
      <c r="O110" s="286"/>
      <c r="P110" s="117">
        <f>O110+N110+L110+G110+F110+D110</f>
        <v>0</v>
      </c>
      <c r="Q110" s="118"/>
    </row>
    <row r="111" spans="2:17" ht="15">
      <c r="B111" s="115" t="s">
        <v>57</v>
      </c>
      <c r="C111" s="116"/>
      <c r="D111" s="119"/>
      <c r="E111" s="120"/>
      <c r="F111" s="121"/>
      <c r="G111" s="119"/>
      <c r="H111" s="122"/>
      <c r="I111" s="136"/>
      <c r="J111" s="136"/>
      <c r="K111" s="136"/>
      <c r="L111" s="119"/>
      <c r="M111" s="123"/>
      <c r="N111" s="124"/>
      <c r="O111" s="124"/>
      <c r="P111" s="117">
        <f>O111+N111+L111+G111+F111+D111</f>
        <v>0</v>
      </c>
      <c r="Q111" s="118"/>
    </row>
    <row r="112" spans="2:17" ht="15">
      <c r="B112" s="125" t="s">
        <v>166</v>
      </c>
      <c r="C112" s="126"/>
      <c r="D112" s="280"/>
      <c r="E112" s="281"/>
      <c r="F112" s="282"/>
      <c r="G112" s="280"/>
      <c r="H112" s="283"/>
      <c r="I112" s="284"/>
      <c r="J112" s="284"/>
      <c r="K112" s="284"/>
      <c r="L112" s="280"/>
      <c r="M112" s="285"/>
      <c r="N112" s="286"/>
      <c r="O112" s="286"/>
      <c r="P112" s="117">
        <f>O112+N112+L112+G112+F112+D112</f>
        <v>0</v>
      </c>
      <c r="Q112" s="118"/>
    </row>
    <row r="113" spans="2:17" ht="15">
      <c r="B113" s="125" t="s">
        <v>60</v>
      </c>
      <c r="C113" s="126"/>
      <c r="D113" s="127"/>
      <c r="E113" s="128"/>
      <c r="F113" s="121"/>
      <c r="G113" s="119"/>
      <c r="H113" s="122"/>
      <c r="I113" s="136"/>
      <c r="J113" s="136"/>
      <c r="K113" s="136"/>
      <c r="L113" s="119"/>
      <c r="M113" s="123"/>
      <c r="N113" s="124"/>
      <c r="O113" s="124"/>
      <c r="P113" s="117">
        <f>O113+N113+L113+G113+F113+D113</f>
        <v>0</v>
      </c>
      <c r="Q113" s="118"/>
    </row>
    <row r="114" spans="2:17" ht="15">
      <c r="B114" s="112"/>
      <c r="C114" s="112"/>
      <c r="D114" s="275" t="s">
        <v>174</v>
      </c>
      <c r="E114" s="276"/>
      <c r="F114" s="277" t="s">
        <v>175</v>
      </c>
      <c r="G114" s="278" t="s">
        <v>176</v>
      </c>
      <c r="H114" s="278"/>
      <c r="I114" s="113"/>
      <c r="J114" s="113"/>
      <c r="K114" s="113"/>
      <c r="L114" s="113" t="s">
        <v>177</v>
      </c>
      <c r="M114" s="287"/>
      <c r="N114" s="279" t="s">
        <v>178</v>
      </c>
      <c r="O114" s="279" t="s">
        <v>179</v>
      </c>
      <c r="P114" s="113" t="s">
        <v>40</v>
      </c>
      <c r="Q114" s="114"/>
    </row>
    <row r="115" spans="2:17" ht="15">
      <c r="B115" s="115" t="s">
        <v>56</v>
      </c>
      <c r="C115" s="116"/>
      <c r="D115" s="280"/>
      <c r="E115" s="281"/>
      <c r="F115" s="282"/>
      <c r="G115" s="280"/>
      <c r="H115" s="283"/>
      <c r="I115" s="284"/>
      <c r="J115" s="284"/>
      <c r="K115" s="284"/>
      <c r="L115" s="280"/>
      <c r="M115" s="285"/>
      <c r="N115" s="286"/>
      <c r="O115" s="286"/>
      <c r="P115" s="129">
        <f>O115+N115+L115+G115+F115+D115</f>
        <v>0</v>
      </c>
      <c r="Q115" s="105"/>
    </row>
    <row r="116" spans="2:17" ht="15">
      <c r="B116" s="115" t="s">
        <v>57</v>
      </c>
      <c r="C116" s="116"/>
      <c r="D116" s="119"/>
      <c r="E116" s="120"/>
      <c r="F116" s="121"/>
      <c r="G116" s="119"/>
      <c r="H116" s="122"/>
      <c r="I116" s="136"/>
      <c r="J116" s="136"/>
      <c r="K116" s="136"/>
      <c r="L116" s="119"/>
      <c r="M116" s="123"/>
      <c r="N116" s="124"/>
      <c r="O116" s="124"/>
      <c r="P116" s="117">
        <f>O116+N116+L116+G116+F116+D116</f>
        <v>0</v>
      </c>
      <c r="Q116" s="118"/>
    </row>
    <row r="117" spans="2:17" ht="15">
      <c r="B117" s="125" t="s">
        <v>166</v>
      </c>
      <c r="C117" s="126"/>
      <c r="D117" s="280"/>
      <c r="E117" s="281"/>
      <c r="F117" s="282"/>
      <c r="G117" s="280"/>
      <c r="H117" s="283"/>
      <c r="I117" s="284"/>
      <c r="J117" s="284"/>
      <c r="K117" s="284"/>
      <c r="L117" s="280"/>
      <c r="M117" s="285"/>
      <c r="N117" s="286"/>
      <c r="O117" s="286"/>
      <c r="P117" s="129">
        <f>O117+N117+L117+G117+F117+D117</f>
        <v>0</v>
      </c>
      <c r="Q117" s="105"/>
    </row>
    <row r="118" spans="2:17" ht="15">
      <c r="B118" s="125" t="s">
        <v>60</v>
      </c>
      <c r="C118" s="126"/>
      <c r="D118" s="119"/>
      <c r="E118" s="120"/>
      <c r="F118" s="121"/>
      <c r="G118" s="119"/>
      <c r="H118" s="122"/>
      <c r="I118" s="136"/>
      <c r="J118" s="136"/>
      <c r="K118" s="136"/>
      <c r="L118" s="119"/>
      <c r="M118" s="123"/>
      <c r="N118" s="124"/>
      <c r="O118" s="124"/>
      <c r="P118" s="117">
        <f>O118+N118+L118+G118+F118+D118</f>
        <v>0</v>
      </c>
      <c r="Q118" s="118"/>
    </row>
    <row r="119" spans="2:6" ht="15">
      <c r="B119" s="265" t="s">
        <v>61</v>
      </c>
      <c r="C119" s="266"/>
      <c r="D119" s="288"/>
      <c r="E119" s="130">
        <f>COUNTIF(B25:B94,"미")</f>
        <v>0</v>
      </c>
      <c r="F119" s="131"/>
    </row>
  </sheetData>
  <mergeCells count="58">
    <mergeCell ref="G108:H108"/>
    <mergeCell ref="G107:H107"/>
    <mergeCell ref="S4:T4"/>
    <mergeCell ref="S56:T56"/>
    <mergeCell ref="P94:Q94"/>
    <mergeCell ref="P95:Q95"/>
    <mergeCell ref="P90:Q90"/>
    <mergeCell ref="P91:Q91"/>
    <mergeCell ref="P92:Q92"/>
    <mergeCell ref="P93:Q93"/>
    <mergeCell ref="P98:Q98"/>
    <mergeCell ref="P99:Q99"/>
    <mergeCell ref="P100:Q100"/>
    <mergeCell ref="P101:Q101"/>
    <mergeCell ref="P102:Q102"/>
    <mergeCell ref="P86:Q86"/>
    <mergeCell ref="P106:Q106"/>
    <mergeCell ref="D83:E83"/>
    <mergeCell ref="P83:Q83"/>
    <mergeCell ref="D84:E84"/>
    <mergeCell ref="P84:Q84"/>
    <mergeCell ref="D85:E85"/>
    <mergeCell ref="P85:Q85"/>
    <mergeCell ref="P103:Q103"/>
    <mergeCell ref="D81:E81"/>
    <mergeCell ref="L81:M81"/>
    <mergeCell ref="P81:Q81"/>
    <mergeCell ref="D82:E82"/>
    <mergeCell ref="L82:M82"/>
    <mergeCell ref="P82:Q82"/>
    <mergeCell ref="N54:Q54"/>
    <mergeCell ref="C55:C56"/>
    <mergeCell ref="D55:D56"/>
    <mergeCell ref="G55:H55"/>
    <mergeCell ref="I55:I56"/>
    <mergeCell ref="J55:J56"/>
    <mergeCell ref="K55:K56"/>
    <mergeCell ref="L55:M55"/>
    <mergeCell ref="Q55:Q56"/>
    <mergeCell ref="N2:Q2"/>
    <mergeCell ref="C3:C4"/>
    <mergeCell ref="D3:D4"/>
    <mergeCell ref="G3:H3"/>
    <mergeCell ref="I3:I4"/>
    <mergeCell ref="J3:J4"/>
    <mergeCell ref="K3:K4"/>
    <mergeCell ref="L3:M3"/>
    <mergeCell ref="Q3:Q4"/>
    <mergeCell ref="S30:T30"/>
    <mergeCell ref="N28:Q28"/>
    <mergeCell ref="C29:C30"/>
    <mergeCell ref="D29:D30"/>
    <mergeCell ref="G29:H29"/>
    <mergeCell ref="I29:I30"/>
    <mergeCell ref="J29:J30"/>
    <mergeCell ref="K29:K30"/>
    <mergeCell ref="L29:M29"/>
    <mergeCell ref="Q29:Q30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김경빈</dc:creator>
  <cp:keywords/>
  <dc:description/>
  <cp:lastModifiedBy>user</cp:lastModifiedBy>
  <cp:lastPrinted>2013-04-03T04:19:37Z</cp:lastPrinted>
  <dcterms:created xsi:type="dcterms:W3CDTF">2011-08-18T05:43:27Z</dcterms:created>
  <dcterms:modified xsi:type="dcterms:W3CDTF">2013-04-03T04:26:12Z</dcterms:modified>
  <cp:category/>
  <cp:version/>
  <cp:contentType/>
  <cp:contentStatus/>
</cp:coreProperties>
</file>